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  <Override PartName="/xl/embeddings/oleObject_5_1.bin" ContentType="application/vnd.openxmlformats-officedocument.oleObject"/>
  <Override PartName="/xl/embeddings/oleObject_6_0.bin" ContentType="application/vnd.openxmlformats-officedocument.oleObject"/>
  <Override PartName="/xl/embeddings/oleObject_7_0.bin" ContentType="application/vnd.openxmlformats-officedocument.oleObject"/>
  <Override PartName="/xl/embeddings/oleObject_8_0.bin" ContentType="application/vnd.openxmlformats-officedocument.oleObject"/>
  <Override PartName="/xl/embeddings/oleObject_9_0.bin" ContentType="application/vnd.openxmlformats-officedocument.oleObject"/>
  <Override PartName="/xl/embeddings/oleObject_9_1.bin" ContentType="application/vnd.openxmlformats-officedocument.oleObject"/>
  <Override PartName="/xl/embeddings/oleObject_1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23256" windowHeight="13176" activeTab="3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4" sheetId="10" r:id="rId10"/>
    <sheet name="15" sheetId="11" r:id="rId11"/>
  </sheets>
  <definedNames>
    <definedName name="_xlnm.Print_Area" localSheetId="0">'1'!$A$7:$F$12</definedName>
    <definedName name="_xlnm.Print_Area" localSheetId="9">'14'!$B$8:$G$38</definedName>
    <definedName name="_xlnm.Print_Area" localSheetId="10">'15'!$B$29:$K$29</definedName>
    <definedName name="_xlnm.Print_Area" localSheetId="1">'2'!$A$1:$I$38</definedName>
    <definedName name="_xlnm.Print_Area" localSheetId="2">'3'!$A$1:$I$28</definedName>
    <definedName name="_xlnm.Print_Area" localSheetId="3">'4'!$C$6:$I$38</definedName>
    <definedName name="_xlnm.Print_Area" localSheetId="4">'5'!$A$1:$G$28</definedName>
    <definedName name="_xlnm.Print_Area" localSheetId="5">'6'!$A$9:$E$38</definedName>
    <definedName name="_xlnm.Print_Area" localSheetId="6">'7'!$B$8:$C$28</definedName>
    <definedName name="_xlnm.Print_Area" localSheetId="7">'8'!$A$8:$C$38</definedName>
    <definedName name="_xlnm.Print_Area" localSheetId="8">'9'!$A$8:$A$28</definedName>
    <definedName name="_xlnm.Print_Titles" localSheetId="0">'1'!$1:$6</definedName>
    <definedName name="_xlnm.Print_Titles" localSheetId="9">'14'!$A:$A,'14'!$1:$7</definedName>
    <definedName name="_xlnm.Print_Titles" localSheetId="10">'15'!$A:$A,'15'!$1:$4</definedName>
    <definedName name="_xlnm.Print_Titles" localSheetId="1">'2'!$A:$A,'2'!$1:$7</definedName>
    <definedName name="_xlnm.Print_Titles" localSheetId="2">'3'!$A:$A,'3'!$1:$7</definedName>
    <definedName name="_xlnm.Print_Titles" localSheetId="3">'4'!$A:$A,'4'!$1:$5</definedName>
    <definedName name="_xlnm.Print_Titles" localSheetId="4">'5'!$1:$5</definedName>
    <definedName name="_xlnm.Print_Titles" localSheetId="5">'6'!$1:$7</definedName>
    <definedName name="_xlnm.Print_Titles" localSheetId="6">'7'!$A:$A,'7'!$1:$7</definedName>
    <definedName name="_xlnm.Print_Titles" localSheetId="7">'8'!$1:$6</definedName>
    <definedName name="_xlnm.Print_Titles" localSheetId="8">'9'!$1:$7</definedName>
  </definedNames>
  <calcPr fullCalcOnLoad="1"/>
</workbook>
</file>

<file path=xl/sharedStrings.xml><?xml version="1.0" encoding="utf-8"?>
<sst xmlns="http://schemas.openxmlformats.org/spreadsheetml/2006/main" count="402" uniqueCount="139">
  <si>
    <t>No.</t>
  </si>
  <si>
    <t>AEROREPUBLICA</t>
  </si>
  <si>
    <t>AIRES</t>
  </si>
  <si>
    <t>SATENA</t>
  </si>
  <si>
    <t xml:space="preserve">MODALIDAD </t>
  </si>
  <si>
    <t>TOTAL EMPRESAS</t>
  </si>
  <si>
    <t>TOTAL</t>
  </si>
  <si>
    <t>AEROSUCRE S.A.</t>
  </si>
  <si>
    <t>PASIVO CORRIENTE / TOTAL PASIVO</t>
  </si>
  <si>
    <t>TRANSPORTE AEREO</t>
  </si>
  <si>
    <t>TOTAL MODALIDAD</t>
  </si>
  <si>
    <t>BALANCE GENERAL</t>
  </si>
  <si>
    <t xml:space="preserve"> A  C  T  I  V  O  S </t>
  </si>
  <si>
    <t>ACTIVO CORRIENTE</t>
  </si>
  <si>
    <t>ACTIVO FIJO</t>
  </si>
  <si>
    <t>OTROS ACTIVOS</t>
  </si>
  <si>
    <t>TOTAL ACTIVO</t>
  </si>
  <si>
    <t>P  A  S  I  V  O  S</t>
  </si>
  <si>
    <t>PASIVO CORRIENTE</t>
  </si>
  <si>
    <t>PASIVO A LARGO PLAZO</t>
  </si>
  <si>
    <t>OTROS PASIVOS</t>
  </si>
  <si>
    <t>TOTAL PASIVO</t>
  </si>
  <si>
    <t xml:space="preserve">P A T R I M O N I O </t>
  </si>
  <si>
    <t>CAPITAL (PAGADO)</t>
  </si>
  <si>
    <t>UTILIDAD (PERDIDA) DEL EJERCICIO</t>
  </si>
  <si>
    <t>UTILIDAD (PERDIDAS) ACUMULADAS</t>
  </si>
  <si>
    <t>OTROS</t>
  </si>
  <si>
    <t>TOTAL PATRIMONIO</t>
  </si>
  <si>
    <t>TOTAL PASIVO Y PATRIMONIO</t>
  </si>
  <si>
    <t>INGRESOS Y EGRESOS</t>
  </si>
  <si>
    <t>I N G R E S O S</t>
  </si>
  <si>
    <t>INGRESOS OPERACIONALES</t>
  </si>
  <si>
    <t>OTROS INGRESOS</t>
  </si>
  <si>
    <t>TOTAL INGRESOS</t>
  </si>
  <si>
    <t>G A S T O S</t>
  </si>
  <si>
    <t>OTROS GASTOS</t>
  </si>
  <si>
    <t>PROVISION PARA IMPUESTOS</t>
  </si>
  <si>
    <t>TOTAL GASTOS</t>
  </si>
  <si>
    <t>UTILIDAD (PERDIDA) OPERACIONAL</t>
  </si>
  <si>
    <t xml:space="preserve">UTILIDAD (PERDIDA) NETA        </t>
  </si>
  <si>
    <t>D E   L I Q U I D E Z</t>
  </si>
  <si>
    <t>D E  E N D E U D A M I E N T O</t>
  </si>
  <si>
    <t xml:space="preserve">TOTAL PASIVO/PATRIMONIO </t>
  </si>
  <si>
    <t xml:space="preserve">PASIVO LARGO PLAZO/PATRIMONIO </t>
  </si>
  <si>
    <t>TOTAL PASIVO / TOTAL ACTIVO</t>
  </si>
  <si>
    <t>D E  S O L I D E Z</t>
  </si>
  <si>
    <t>ACTIVO TOTAL/ PASIVO TOTAL</t>
  </si>
  <si>
    <t>D E  E S T A B I L I D A D</t>
  </si>
  <si>
    <t>ACTIVO FIJO/ PASIVO LARGO PLAZO</t>
  </si>
  <si>
    <t>DE PROPIEDAD DE LA EMPRESA</t>
  </si>
  <si>
    <t>D E   R E N T A B I L I D A D</t>
  </si>
  <si>
    <t>UTILIDAD NETA/INGRESOS TOTALES</t>
  </si>
  <si>
    <t>C A P I T A L   T R A B A J O</t>
  </si>
  <si>
    <t>ACTIVO CORRIENTE-PASIVO CORRIENTE</t>
  </si>
  <si>
    <t>AIR COLOMBIA LTDA</t>
  </si>
  <si>
    <t>TOTAL PATRIMONIO/TOTAL ACTIVO</t>
  </si>
  <si>
    <t>RUBROS / PERIODOS</t>
  </si>
  <si>
    <t>TOTAL ACTIVO/ PASIVO CORRIENTE</t>
  </si>
  <si>
    <t>TOTAL ACTIVO/TOTAL PASIVO</t>
  </si>
  <si>
    <t>UTILIDAD OPER./INGRESO OPER.</t>
  </si>
  <si>
    <t>RAZON CORRIENTE:A.Corriente/P.Corriente</t>
  </si>
  <si>
    <t>SADELCA LTDA</t>
  </si>
  <si>
    <t>AVIANCA S.A.</t>
  </si>
  <si>
    <t>COSTOS Y GASTOS OPERACIONALES</t>
  </si>
  <si>
    <t>COMERCIAL SECUNDARIO</t>
  </si>
  <si>
    <t>COMERCIAL TRONCAL</t>
  </si>
  <si>
    <t>COMERCIAL DE CARGA</t>
  </si>
  <si>
    <t>ESPECIAL DE CARGA</t>
  </si>
  <si>
    <t>(miles de pesos)</t>
  </si>
  <si>
    <t>COMERCIAL SECUNDARIA</t>
  </si>
  <si>
    <t>EMPRESAS DE TRANSPORTE AÉREO</t>
  </si>
  <si>
    <t>EMPRESAS DE TRANSPORTE AEREO</t>
  </si>
  <si>
    <t>ESTADOS FINANCIEROS CONSOLIDADOS</t>
  </si>
  <si>
    <t>COEFICIENTES FINANCIEROS</t>
  </si>
  <si>
    <t>ESPECIAL DEL GOBIERNO</t>
  </si>
  <si>
    <t xml:space="preserve">No. </t>
  </si>
  <si>
    <t>ADA</t>
  </si>
  <si>
    <t xml:space="preserve">CUMPLIMIENTO EN EL ENVÍO DE LA INFORMACIÓN FINANCIERA </t>
  </si>
  <si>
    <t>PART.%</t>
  </si>
  <si>
    <t>SELVA LTDA</t>
  </si>
  <si>
    <t>CUADRO No. 1</t>
  </si>
  <si>
    <t>CUADRO N° 2</t>
  </si>
  <si>
    <t>CUADRO N° 3</t>
  </si>
  <si>
    <t>F U E N T E :  Cuadro No. 2</t>
  </si>
  <si>
    <t>CUADRO N° 4</t>
  </si>
  <si>
    <t>CUADRO N° 5</t>
  </si>
  <si>
    <t>F U E N T E :  Cuadro No. 4</t>
  </si>
  <si>
    <t>CUADRO N° 6</t>
  </si>
  <si>
    <t>F U E N T E :  Cuadro No. 6</t>
  </si>
  <si>
    <t>CUADRO N° 7</t>
  </si>
  <si>
    <t>CUADRO N° 8</t>
  </si>
  <si>
    <t>CUADRO N° 9</t>
  </si>
  <si>
    <t>F U E N T E :  Cuadro No. 8</t>
  </si>
  <si>
    <t>CUADRO N° 14</t>
  </si>
  <si>
    <t>F U E N T E :  Cuadro No. 14</t>
  </si>
  <si>
    <t>CUADRO N° 15</t>
  </si>
  <si>
    <t>CUMPLIMIENTO</t>
  </si>
  <si>
    <t>ACTIVOS CORRIENTES</t>
  </si>
  <si>
    <t>EASYFLY</t>
  </si>
  <si>
    <t>ALIANSA S.A.- AEROLINEAS ANDINAS S.A.</t>
  </si>
  <si>
    <t>LINEA AEREA CARGUERA DE COLOMBIA S.A.( PAQ.DE LANCO)</t>
  </si>
  <si>
    <t>COMERCIAL CARGA</t>
  </si>
  <si>
    <t>CV.CARGO</t>
  </si>
  <si>
    <t>Estados Financieros recibidos</t>
  </si>
  <si>
    <t>VIVA COLOMBIA</t>
  </si>
  <si>
    <t>AVIANCA</t>
  </si>
  <si>
    <t>TOTALES</t>
  </si>
  <si>
    <t xml:space="preserve">Fuente: Estados Financieros I SEM 2012 Empresas Modalidad Transporte Aéreo </t>
  </si>
  <si>
    <t>ESPECIAL GOBIERNO - I SEMESTRE 2011 - 2012</t>
  </si>
  <si>
    <t>COMERCIAL SECUNDARIA - I SEMESTRE 2011 - 2012</t>
  </si>
  <si>
    <t>COMERCIAL TRONCAL - I SEMESTRE 2011 - 2012</t>
  </si>
  <si>
    <t>TAMPA</t>
  </si>
  <si>
    <t>AEROSUCRE</t>
  </si>
  <si>
    <t>AIR COLOMBIA</t>
  </si>
  <si>
    <t>ALIANSA</t>
  </si>
  <si>
    <t>LANCO</t>
  </si>
  <si>
    <t>LAS</t>
  </si>
  <si>
    <t>SELVA</t>
  </si>
  <si>
    <t>SADELCA</t>
  </si>
  <si>
    <t>COMERCIAL DE CARGA - I SEMESTRE 2011 - 2012</t>
  </si>
  <si>
    <t>Fuente . Cuadro Excel Control Recepción Estados Financieros I SEM 2012</t>
  </si>
  <si>
    <t>ESPECIAL GOBIERNO</t>
  </si>
  <si>
    <t>MODALIDAD TRANSPORTE AEREO - I SEMESTRE 2011 - 2012</t>
  </si>
  <si>
    <t>TAMPA  S.A</t>
  </si>
  <si>
    <t>LAS S.A. - LINEAS AEREAS SURAMERICANAS S.A</t>
  </si>
  <si>
    <t>POR MODALIDAD TRANSPORTE AEREO- I SEMESTRE 2011 - 2012</t>
  </si>
  <si>
    <t>POR MODALIDAD - I SEMESTRE 2011 - 2012</t>
  </si>
  <si>
    <t>COMERCIAL TRONCAL - I SEMESTRE 211 - 2012</t>
  </si>
  <si>
    <t>COMERCIAL SECUNDARIO - I SEMESTRE 2011  -2012</t>
  </si>
  <si>
    <t>ESPECIAL DEL GOBIERNO - I SEMESTRE 2011  -2012</t>
  </si>
  <si>
    <t>CARGA - I SEMESTRE 2011 - 2012</t>
  </si>
  <si>
    <t xml:space="preserve"> </t>
  </si>
  <si>
    <r>
      <rPr>
        <b/>
        <i/>
        <sz val="10"/>
        <rFont val="Arial"/>
        <family val="2"/>
      </rPr>
      <t>COMERCIAL TRONCAL</t>
    </r>
    <r>
      <rPr>
        <sz val="10"/>
        <rFont val="Arial"/>
        <family val="2"/>
      </rPr>
      <t xml:space="preserve">: Avianca, Aerorepublica, Aires y Fast Colombia. </t>
    </r>
  </si>
  <si>
    <r>
      <rPr>
        <b/>
        <i/>
        <sz val="10"/>
        <rFont val="Arial"/>
        <family val="2"/>
      </rPr>
      <t>COMERCIAL SECUNDARIA</t>
    </r>
    <r>
      <rPr>
        <b/>
        <sz val="10"/>
        <rFont val="Arial"/>
        <family val="2"/>
      </rPr>
      <t>: E</t>
    </r>
    <r>
      <rPr>
        <sz val="10"/>
        <rFont val="Arial"/>
        <family val="2"/>
      </rPr>
      <t>stados financieros corresponden a ADA y Esafly</t>
    </r>
  </si>
  <si>
    <r>
      <rPr>
        <b/>
        <i/>
        <sz val="10"/>
        <rFont val="Arial"/>
        <family val="2"/>
      </rPr>
      <t>ESPECIAL DEL GOBIERNO</t>
    </r>
    <r>
      <rPr>
        <sz val="10"/>
        <rFont val="Arial"/>
        <family val="2"/>
      </rPr>
      <t xml:space="preserve">: Satena </t>
    </r>
  </si>
  <si>
    <r>
      <rPr>
        <b/>
        <i/>
        <sz val="10"/>
        <rFont val="Arial"/>
        <family val="2"/>
      </rPr>
      <t>COMERCIAL CARGA</t>
    </r>
    <r>
      <rPr>
        <sz val="10"/>
        <rFont val="Arial"/>
        <family val="2"/>
      </rPr>
      <t xml:space="preserve">: Estados financieros correponden a  Air Colombia, Aliansa, CV Cargo, Tampa, Lanco, Sadelca, Selva, Aerosucre y Las.   
</t>
    </r>
  </si>
  <si>
    <t>TRANSPORTE AÉREO</t>
  </si>
  <si>
    <r>
      <rPr>
        <b/>
        <i/>
        <sz val="10"/>
        <color indexed="56"/>
        <rFont val="Arial"/>
        <family val="2"/>
      </rPr>
      <t>CONCLUSIÓN</t>
    </r>
    <r>
      <rPr>
        <sz val="10"/>
        <color indexed="56"/>
        <rFont val="Arial"/>
        <family val="2"/>
      </rPr>
      <t>: Se observa  un crecimiento en el comportamiento del I semestre de 2012 comparado con el I semestre del 2011, presentando  un aumento en los activos (incremento del activo fijo), disminución de los pasivos (disminución de la deuda)  y aumento del patrimonio (capitalización y creación de nuevas empresas).  Igualmente, se evidencia un incremento en los ingresos, incremento moderado de los costos y gastos lo cual origina utilidad operacional y neta.  Ocasionada por el crecimiento de pasajeros de 731.258 en la operacion regular de la empresas nacionales y el incremento en carga de 6.968 toneladas.</t>
    </r>
  </si>
  <si>
    <t>CONCEPTOS</t>
  </si>
</sst>
</file>

<file path=xl/styles.xml><?xml version="1.0" encoding="utf-8"?>
<styleSheet xmlns="http://schemas.openxmlformats.org/spreadsheetml/2006/main">
  <numFmts count="4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-&quot;$&quot;* #,##0_-;\-&quot;$&quot;* #,##0_-;_-&quot;$&quot;* &quot;-&quot;_-;_-@_-"/>
    <numFmt numFmtId="173" formatCode="_-* #,##0_-;\-* #,##0_-;_-* &quot;-&quot;_-;_-@_-"/>
    <numFmt numFmtId="174" formatCode="_-&quot;$&quot;* #,##0.00_-;\-&quot;$&quot;* #,##0.00_-;_-&quot;$&quot;* &quot;-&quot;??_-;_-@_-"/>
    <numFmt numFmtId="175" formatCode="_-* #,##0.00_-;\-* #,##0.00_-;_-* &quot;-&quot;??_-;_-@_-"/>
    <numFmt numFmtId="176" formatCode="0.0%"/>
    <numFmt numFmtId="177" formatCode="_-* #,##0_-;\-* #,##0_-;_-* &quot;-&quot;??_-;_-@_-"/>
    <numFmt numFmtId="178" formatCode="_-* #,##0.0_-;\-* #,##0.0_-;_-* &quot;-&quot;??_-;_-@_-"/>
    <numFmt numFmtId="179" formatCode="0_)"/>
    <numFmt numFmtId="180" formatCode="#,##0.00\ _€"/>
    <numFmt numFmtId="181" formatCode="[$-240A]dddd\,\ dd&quot; de &quot;mmmm&quot; de &quot;yyyy"/>
    <numFmt numFmtId="182" formatCode="dd/mm/yyyy;@"/>
    <numFmt numFmtId="183" formatCode="_ * #,##0.00000_ ;_ * \-#,##0.00000_ ;_ * &quot;-&quot;?????_ ;_ @_ "/>
    <numFmt numFmtId="184" formatCode="_ * #,##0.000_ ;_ * \-#,##0.000_ ;_ * &quot;-&quot;???_ ;_ @_ 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&quot;$&quot;\ #,##0"/>
    <numFmt numFmtId="190" formatCode="[$-C0A]dddd\,\ dd&quot; de &quot;mmmm&quot; de &quot;yyyy"/>
    <numFmt numFmtId="191" formatCode="dd\-mm\-yy;@"/>
    <numFmt numFmtId="192" formatCode="_-* #,##0.000_-;\-* #,##0.000_-;_-* &quot;-&quot;??_-;_-@_-"/>
    <numFmt numFmtId="193" formatCode="mmm\-yyyy"/>
    <numFmt numFmtId="194" formatCode="m/d/yyyy"/>
    <numFmt numFmtId="195" formatCode="d\-m\-yy;@"/>
  </numFmts>
  <fonts count="112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Helv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Helv"/>
      <family val="0"/>
    </font>
    <font>
      <b/>
      <sz val="10"/>
      <color indexed="8"/>
      <name val="Helv"/>
      <family val="0"/>
    </font>
    <font>
      <sz val="10"/>
      <color indexed="15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i/>
      <sz val="8"/>
      <name val="Arial"/>
      <family val="2"/>
    </font>
    <font>
      <sz val="8"/>
      <name val="Times New Roman"/>
      <family val="1"/>
    </font>
    <font>
      <sz val="8"/>
      <color indexed="8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Helv"/>
      <family val="0"/>
    </font>
    <font>
      <b/>
      <sz val="9"/>
      <color indexed="8"/>
      <name val="Arial"/>
      <family val="2"/>
    </font>
    <font>
      <b/>
      <i/>
      <sz val="9"/>
      <name val="Arial"/>
      <family val="2"/>
    </font>
    <font>
      <b/>
      <sz val="9"/>
      <name val="Helv"/>
      <family val="0"/>
    </font>
    <font>
      <b/>
      <sz val="9"/>
      <color indexed="8"/>
      <name val="Helv"/>
      <family val="0"/>
    </font>
    <font>
      <sz val="9"/>
      <name val="Helv"/>
      <family val="0"/>
    </font>
    <font>
      <sz val="10"/>
      <name val="MS Sans Serif"/>
      <family val="2"/>
    </font>
    <font>
      <b/>
      <i/>
      <sz val="10"/>
      <name val="Arial"/>
      <family val="2"/>
    </font>
    <font>
      <sz val="10"/>
      <color indexed="56"/>
      <name val="Arial"/>
      <family val="2"/>
    </font>
    <font>
      <b/>
      <i/>
      <sz val="10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0"/>
      <name val="Helv"/>
      <family val="0"/>
    </font>
    <font>
      <b/>
      <sz val="10"/>
      <color indexed="10"/>
      <name val="Arial"/>
      <family val="2"/>
    </font>
    <font>
      <b/>
      <sz val="9"/>
      <color indexed="10"/>
      <name val="Times New Roman"/>
      <family val="1"/>
    </font>
    <font>
      <sz val="10"/>
      <color indexed="10"/>
      <name val="Helv"/>
      <family val="0"/>
    </font>
    <font>
      <sz val="10"/>
      <color indexed="10"/>
      <name val="Times New Roman"/>
      <family val="1"/>
    </font>
    <font>
      <b/>
      <sz val="9"/>
      <color indexed="60"/>
      <name val="Arial"/>
      <family val="2"/>
    </font>
    <font>
      <b/>
      <sz val="9"/>
      <color indexed="10"/>
      <name val="Arial"/>
      <family val="2"/>
    </font>
    <font>
      <sz val="9"/>
      <color indexed="10"/>
      <name val="Times New Roman"/>
      <family val="1"/>
    </font>
    <font>
      <sz val="8"/>
      <color indexed="10"/>
      <name val="Times New Roman"/>
      <family val="1"/>
    </font>
    <font>
      <b/>
      <sz val="9"/>
      <color indexed="60"/>
      <name val="Times New Roman"/>
      <family val="1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2"/>
      <color indexed="8"/>
      <name val="Arial"/>
      <family val="0"/>
    </font>
    <font>
      <b/>
      <sz val="2.5"/>
      <color indexed="8"/>
      <name val="Arial"/>
      <family val="0"/>
    </font>
    <font>
      <sz val="1.35"/>
      <color indexed="8"/>
      <name val="Arial"/>
      <family val="0"/>
    </font>
    <font>
      <sz val="2.5"/>
      <color indexed="8"/>
      <name val="Arial"/>
      <family val="0"/>
    </font>
    <font>
      <sz val="2.5"/>
      <color indexed="9"/>
      <name val="Arial"/>
      <family val="0"/>
    </font>
    <font>
      <b/>
      <sz val="3"/>
      <color indexed="9"/>
      <name val="Arial"/>
      <family val="0"/>
    </font>
    <font>
      <sz val="1.7"/>
      <color indexed="9"/>
      <name val="Arial"/>
      <family val="0"/>
    </font>
    <font>
      <sz val="1"/>
      <color indexed="8"/>
      <name val="Arial"/>
      <family val="0"/>
    </font>
    <font>
      <b/>
      <sz val="2"/>
      <color indexed="8"/>
      <name val="Arial"/>
      <family val="0"/>
    </font>
    <font>
      <sz val="1.75"/>
      <color indexed="8"/>
      <name val="Arial"/>
      <family val="0"/>
    </font>
    <font>
      <sz val="1.25"/>
      <color indexed="8"/>
      <name val="Arial"/>
      <family val="0"/>
    </font>
    <font>
      <b/>
      <sz val="1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FF0000"/>
      <name val="Helv"/>
      <family val="0"/>
    </font>
    <font>
      <b/>
      <sz val="10"/>
      <color rgb="FFFF0000"/>
      <name val="Arial"/>
      <family val="2"/>
    </font>
    <font>
      <b/>
      <sz val="9"/>
      <color rgb="FFFF0000"/>
      <name val="Times New Roman"/>
      <family val="1"/>
    </font>
    <font>
      <sz val="10"/>
      <color rgb="FFFF0000"/>
      <name val="Helv"/>
      <family val="0"/>
    </font>
    <font>
      <sz val="10"/>
      <color rgb="FFFF0000"/>
      <name val="Times New Roman"/>
      <family val="1"/>
    </font>
    <font>
      <b/>
      <sz val="9"/>
      <color theme="5" tint="-0.24997000396251678"/>
      <name val="Arial"/>
      <family val="2"/>
    </font>
    <font>
      <b/>
      <sz val="9"/>
      <color rgb="FFFF0000"/>
      <name val="Arial"/>
      <family val="2"/>
    </font>
    <font>
      <sz val="9"/>
      <color rgb="FFFF0000"/>
      <name val="Times New Roman"/>
      <family val="1"/>
    </font>
    <font>
      <sz val="8"/>
      <color rgb="FFFF0000"/>
      <name val="Times New Roman"/>
      <family val="1"/>
    </font>
    <font>
      <b/>
      <sz val="9"/>
      <color theme="5" tint="-0.24997000396251678"/>
      <name val="Times New Roman"/>
      <family val="1"/>
    </font>
    <font>
      <sz val="10"/>
      <color theme="3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5999600291252136"/>
        <bgColor indexed="64"/>
      </patternFill>
    </fill>
    <fill>
      <patternFill patternType="solid">
        <fgColor theme="3" tint="0.3999499976634979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5" tint="0.7999799847602844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0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4" fillId="19" borderId="0" applyNumberFormat="0" applyBorder="0" applyAlignment="0" applyProtection="0"/>
    <xf numFmtId="0" fontId="85" fillId="20" borderId="1" applyNumberFormat="0" applyAlignment="0" applyProtection="0"/>
    <xf numFmtId="0" fontId="86" fillId="21" borderId="2" applyNumberFormat="0" applyAlignment="0" applyProtection="0"/>
    <xf numFmtId="0" fontId="87" fillId="0" borderId="3" applyNumberFormat="0" applyFill="0" applyAlignment="0" applyProtection="0"/>
    <xf numFmtId="0" fontId="88" fillId="0" borderId="0" applyNumberFormat="0" applyFill="0" applyBorder="0" applyAlignment="0" applyProtection="0"/>
    <xf numFmtId="0" fontId="83" fillId="22" borderId="0" applyNumberFormat="0" applyBorder="0" applyAlignment="0" applyProtection="0"/>
    <xf numFmtId="0" fontId="83" fillId="23" borderId="0" applyNumberFormat="0" applyBorder="0" applyAlignment="0" applyProtection="0"/>
    <xf numFmtId="0" fontId="83" fillId="24" borderId="0" applyNumberFormat="0" applyBorder="0" applyAlignment="0" applyProtection="0"/>
    <xf numFmtId="0" fontId="83" fillId="25" borderId="0" applyNumberFormat="0" applyBorder="0" applyAlignment="0" applyProtection="0"/>
    <xf numFmtId="0" fontId="83" fillId="26" borderId="0" applyNumberFormat="0" applyBorder="0" applyAlignment="0" applyProtection="0"/>
    <xf numFmtId="0" fontId="83" fillId="27" borderId="0" applyNumberFormat="0" applyBorder="0" applyAlignment="0" applyProtection="0"/>
    <xf numFmtId="0" fontId="89" fillId="28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0" fillId="29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91" fillId="30" borderId="0" applyNumberFormat="0" applyBorder="0" applyAlignment="0" applyProtection="0"/>
    <xf numFmtId="0" fontId="35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92" fillId="20" borderId="5" applyNumberFormat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6" applyNumberFormat="0" applyFill="0" applyAlignment="0" applyProtection="0"/>
    <xf numFmtId="0" fontId="97" fillId="0" borderId="7" applyNumberFormat="0" applyFill="0" applyAlignment="0" applyProtection="0"/>
    <xf numFmtId="0" fontId="88" fillId="0" borderId="8" applyNumberFormat="0" applyFill="0" applyAlignment="0" applyProtection="0"/>
    <xf numFmtId="0" fontId="98" fillId="0" borderId="9" applyNumberFormat="0" applyFill="0" applyAlignment="0" applyProtection="0"/>
  </cellStyleXfs>
  <cellXfs count="38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173" fontId="2" fillId="0" borderId="0" xfId="49" applyFont="1" applyFill="1" applyAlignment="1">
      <alignment horizontal="right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37" fontId="2" fillId="0" borderId="0" xfId="0" applyNumberFormat="1" applyFont="1" applyFill="1" applyAlignment="1">
      <alignment horizontal="right"/>
    </xf>
    <xf numFmtId="37" fontId="6" fillId="0" borderId="0" xfId="0" applyNumberFormat="1" applyFont="1" applyFill="1" applyAlignment="1">
      <alignment horizontal="right"/>
    </xf>
    <xf numFmtId="37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right"/>
    </xf>
    <xf numFmtId="176" fontId="6" fillId="0" borderId="0" xfId="0" applyNumberFormat="1" applyFont="1" applyFill="1" applyAlignment="1" applyProtection="1">
      <alignment horizontal="right"/>
      <protection/>
    </xf>
    <xf numFmtId="0" fontId="6" fillId="0" borderId="0" xfId="0" applyFont="1" applyFill="1" applyAlignment="1">
      <alignment/>
    </xf>
    <xf numFmtId="37" fontId="2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>
      <alignment/>
    </xf>
    <xf numFmtId="0" fontId="13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Fill="1" applyBorder="1" applyAlignment="1">
      <alignment/>
    </xf>
    <xf numFmtId="37" fontId="3" fillId="0" borderId="0" xfId="0" applyNumberFormat="1" applyFont="1" applyFill="1" applyBorder="1" applyAlignment="1" applyProtection="1">
      <alignment horizontal="center"/>
      <protection/>
    </xf>
    <xf numFmtId="41" fontId="3" fillId="0" borderId="0" xfId="0" applyNumberFormat="1" applyFont="1" applyFill="1" applyBorder="1" applyAlignment="1" applyProtection="1">
      <alignment horizontal="left"/>
      <protection/>
    </xf>
    <xf numFmtId="41" fontId="2" fillId="0" borderId="0" xfId="0" applyNumberFormat="1" applyFont="1" applyFill="1" applyBorder="1" applyAlignment="1" applyProtection="1">
      <alignment horizontal="right"/>
      <protection/>
    </xf>
    <xf numFmtId="41" fontId="2" fillId="0" borderId="0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 applyProtection="1">
      <alignment horizontal="right"/>
      <protection/>
    </xf>
    <xf numFmtId="41" fontId="3" fillId="0" borderId="0" xfId="0" applyNumberFormat="1" applyFont="1" applyFill="1" applyBorder="1" applyAlignment="1" applyProtection="1">
      <alignment horizontal="right"/>
      <protection/>
    </xf>
    <xf numFmtId="41" fontId="6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10" fontId="3" fillId="0" borderId="0" xfId="0" applyNumberFormat="1" applyFont="1" applyFill="1" applyBorder="1" applyAlignment="1" applyProtection="1">
      <alignment horizontal="right"/>
      <protection/>
    </xf>
    <xf numFmtId="10" fontId="3" fillId="0" borderId="0" xfId="0" applyNumberFormat="1" applyFont="1" applyFill="1" applyBorder="1" applyAlignment="1">
      <alignment/>
    </xf>
    <xf numFmtId="10" fontId="5" fillId="0" borderId="0" xfId="0" applyNumberFormat="1" applyFont="1" applyFill="1" applyBorder="1" applyAlignment="1">
      <alignment horizontal="right"/>
    </xf>
    <xf numFmtId="10" fontId="3" fillId="0" borderId="0" xfId="0" applyNumberFormat="1" applyFont="1" applyFill="1" applyBorder="1" applyAlignment="1">
      <alignment horizontal="right"/>
    </xf>
    <xf numFmtId="10" fontId="2" fillId="0" borderId="0" xfId="0" applyNumberFormat="1" applyFont="1" applyFill="1" applyBorder="1" applyAlignment="1" applyProtection="1">
      <alignment horizontal="right"/>
      <protection/>
    </xf>
    <xf numFmtId="10" fontId="9" fillId="0" borderId="0" xfId="0" applyNumberFormat="1" applyFont="1" applyFill="1" applyBorder="1" applyAlignment="1" applyProtection="1">
      <alignment horizontal="right"/>
      <protection locked="0"/>
    </xf>
    <xf numFmtId="10" fontId="2" fillId="0" borderId="0" xfId="0" applyNumberFormat="1" applyFont="1" applyFill="1" applyBorder="1" applyAlignment="1">
      <alignment/>
    </xf>
    <xf numFmtId="10" fontId="2" fillId="0" borderId="0" xfId="49" applyNumberFormat="1" applyFont="1" applyFill="1" applyBorder="1" applyAlignment="1">
      <alignment horizontal="right"/>
    </xf>
    <xf numFmtId="10" fontId="6" fillId="0" borderId="0" xfId="0" applyNumberFormat="1" applyFont="1" applyFill="1" applyBorder="1" applyAlignment="1" applyProtection="1">
      <alignment/>
      <protection locked="0"/>
    </xf>
    <xf numFmtId="10" fontId="6" fillId="0" borderId="0" xfId="0" applyNumberFormat="1" applyFont="1" applyFill="1" applyBorder="1" applyAlignment="1" applyProtection="1">
      <alignment horizontal="right"/>
      <protection/>
    </xf>
    <xf numFmtId="10" fontId="6" fillId="0" borderId="0" xfId="0" applyNumberFormat="1" applyFont="1" applyFill="1" applyBorder="1" applyAlignment="1" applyProtection="1">
      <alignment horizontal="right"/>
      <protection locked="0"/>
    </xf>
    <xf numFmtId="41" fontId="6" fillId="0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10" fontId="2" fillId="0" borderId="0" xfId="55" applyNumberFormat="1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37" fontId="18" fillId="0" borderId="10" xfId="0" applyNumberFormat="1" applyFont="1" applyBorder="1" applyAlignment="1" applyProtection="1">
      <alignment horizontal="left"/>
      <protection/>
    </xf>
    <xf numFmtId="37" fontId="18" fillId="0" borderId="11" xfId="0" applyNumberFormat="1" applyFont="1" applyBorder="1" applyAlignment="1" applyProtection="1">
      <alignment horizontal="left"/>
      <protection/>
    </xf>
    <xf numFmtId="37" fontId="19" fillId="0" borderId="11" xfId="0" applyNumberFormat="1" applyFont="1" applyBorder="1" applyAlignment="1" applyProtection="1">
      <alignment horizontal="left"/>
      <protection/>
    </xf>
    <xf numFmtId="37" fontId="19" fillId="0" borderId="11" xfId="0" applyNumberFormat="1" applyFont="1" applyBorder="1" applyAlignment="1" applyProtection="1" quotePrefix="1">
      <alignment horizontal="left"/>
      <protection/>
    </xf>
    <xf numFmtId="37" fontId="18" fillId="0" borderId="11" xfId="0" applyNumberFormat="1" applyFont="1" applyBorder="1" applyAlignment="1" applyProtection="1" quotePrefix="1">
      <alignment horizontal="left"/>
      <protection/>
    </xf>
    <xf numFmtId="37" fontId="18" fillId="0" borderId="10" xfId="0" applyNumberFormat="1" applyFont="1" applyFill="1" applyBorder="1" applyAlignment="1" applyProtection="1">
      <alignment horizontal="center"/>
      <protection/>
    </xf>
    <xf numFmtId="41" fontId="18" fillId="0" borderId="11" xfId="0" applyNumberFormat="1" applyFont="1" applyFill="1" applyBorder="1" applyAlignment="1" applyProtection="1">
      <alignment horizontal="left"/>
      <protection/>
    </xf>
    <xf numFmtId="41" fontId="19" fillId="0" borderId="11" xfId="0" applyNumberFormat="1" applyFont="1" applyFill="1" applyBorder="1" applyAlignment="1" applyProtection="1">
      <alignment horizontal="right"/>
      <protection/>
    </xf>
    <xf numFmtId="41" fontId="18" fillId="0" borderId="11" xfId="0" applyNumberFormat="1" applyFont="1" applyFill="1" applyBorder="1" applyAlignment="1" applyProtection="1">
      <alignment horizontal="right"/>
      <protection/>
    </xf>
    <xf numFmtId="41" fontId="20" fillId="0" borderId="11" xfId="0" applyNumberFormat="1" applyFont="1" applyFill="1" applyBorder="1" applyAlignment="1" applyProtection="1">
      <alignment horizontal="right"/>
      <protection/>
    </xf>
    <xf numFmtId="10" fontId="21" fillId="32" borderId="11" xfId="0" applyNumberFormat="1" applyFont="1" applyFill="1" applyBorder="1" applyAlignment="1" applyProtection="1">
      <alignment horizontal="right"/>
      <protection/>
    </xf>
    <xf numFmtId="37" fontId="18" fillId="0" borderId="12" xfId="0" applyNumberFormat="1" applyFont="1" applyBorder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10" fontId="21" fillId="32" borderId="10" xfId="0" applyNumberFormat="1" applyFont="1" applyFill="1" applyBorder="1" applyAlignment="1" applyProtection="1">
      <alignment horizontal="right"/>
      <protection/>
    </xf>
    <xf numFmtId="10" fontId="18" fillId="0" borderId="13" xfId="0" applyNumberFormat="1" applyFont="1" applyFill="1" applyBorder="1" applyAlignment="1" applyProtection="1">
      <alignment horizontal="right"/>
      <protection/>
    </xf>
    <xf numFmtId="37" fontId="18" fillId="0" borderId="14" xfId="0" applyNumberFormat="1" applyFont="1" applyFill="1" applyBorder="1" applyAlignment="1" applyProtection="1">
      <alignment horizontal="left"/>
      <protection/>
    </xf>
    <xf numFmtId="177" fontId="19" fillId="0" borderId="15" xfId="48" applyNumberFormat="1" applyFont="1" applyBorder="1" applyAlignment="1" applyProtection="1">
      <alignment horizontal="left"/>
      <protection/>
    </xf>
    <xf numFmtId="10" fontId="21" fillId="32" borderId="15" xfId="0" applyNumberFormat="1" applyFont="1" applyFill="1" applyBorder="1" applyAlignment="1" applyProtection="1">
      <alignment horizontal="right"/>
      <protection/>
    </xf>
    <xf numFmtId="37" fontId="19" fillId="0" borderId="10" xfId="0" applyNumberFormat="1" applyFont="1" applyBorder="1" applyAlignment="1" applyProtection="1">
      <alignment horizontal="left"/>
      <protection/>
    </xf>
    <xf numFmtId="10" fontId="21" fillId="32" borderId="10" xfId="0" applyNumberFormat="1" applyFont="1" applyFill="1" applyBorder="1" applyAlignment="1" applyProtection="1">
      <alignment horizontal="right"/>
      <protection locked="0"/>
    </xf>
    <xf numFmtId="10" fontId="21" fillId="0" borderId="13" xfId="0" applyNumberFormat="1" applyFont="1" applyFill="1" applyBorder="1" applyAlignment="1" applyProtection="1">
      <alignment horizontal="right"/>
      <protection locked="0"/>
    </xf>
    <xf numFmtId="37" fontId="19" fillId="0" borderId="12" xfId="0" applyNumberFormat="1" applyFont="1" applyBorder="1" applyAlignment="1" applyProtection="1">
      <alignment horizontal="left"/>
      <protection/>
    </xf>
    <xf numFmtId="10" fontId="21" fillId="32" borderId="12" xfId="0" applyNumberFormat="1" applyFont="1" applyFill="1" applyBorder="1" applyAlignment="1" applyProtection="1">
      <alignment horizontal="right"/>
      <protection/>
    </xf>
    <xf numFmtId="37" fontId="19" fillId="0" borderId="15" xfId="0" applyNumberFormat="1" applyFont="1" applyBorder="1" applyAlignment="1" applyProtection="1">
      <alignment horizontal="left"/>
      <protection/>
    </xf>
    <xf numFmtId="41" fontId="21" fillId="0" borderId="13" xfId="0" applyNumberFormat="1" applyFont="1" applyFill="1" applyBorder="1" applyAlignment="1">
      <alignment horizontal="right"/>
    </xf>
    <xf numFmtId="37" fontId="18" fillId="0" borderId="0" xfId="0" applyNumberFormat="1" applyFont="1" applyBorder="1" applyAlignment="1" applyProtection="1">
      <alignment horizontal="left"/>
      <protection/>
    </xf>
    <xf numFmtId="37" fontId="19" fillId="0" borderId="16" xfId="0" applyNumberFormat="1" applyFont="1" applyBorder="1" applyAlignment="1" applyProtection="1" quotePrefix="1">
      <alignment horizontal="left"/>
      <protection/>
    </xf>
    <xf numFmtId="41" fontId="21" fillId="32" borderId="16" xfId="0" applyNumberFormat="1" applyFont="1" applyFill="1" applyBorder="1" applyAlignment="1" applyProtection="1">
      <alignment horizontal="right"/>
      <protection/>
    </xf>
    <xf numFmtId="37" fontId="18" fillId="0" borderId="17" xfId="0" applyNumberFormat="1" applyFont="1" applyBorder="1" applyAlignment="1" applyProtection="1" quotePrefix="1">
      <alignment horizontal="left"/>
      <protection/>
    </xf>
    <xf numFmtId="10" fontId="18" fillId="0" borderId="0" xfId="0" applyNumberFormat="1" applyFont="1" applyFill="1" applyBorder="1" applyAlignment="1" applyProtection="1">
      <alignment horizontal="right"/>
      <protection/>
    </xf>
    <xf numFmtId="41" fontId="19" fillId="0" borderId="11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41" fontId="0" fillId="0" borderId="0" xfId="0" applyNumberFormat="1" applyAlignment="1">
      <alignment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3" fontId="3" fillId="0" borderId="0" xfId="0" applyNumberFormat="1" applyFont="1" applyFill="1" applyBorder="1" applyAlignment="1" applyProtection="1">
      <alignment horizontal="center"/>
      <protection/>
    </xf>
    <xf numFmtId="3" fontId="3" fillId="0" borderId="0" xfId="0" applyNumberFormat="1" applyFont="1" applyFill="1" applyBorder="1" applyAlignment="1" applyProtection="1">
      <alignment horizontal="left"/>
      <protection/>
    </xf>
    <xf numFmtId="3" fontId="2" fillId="0" borderId="0" xfId="0" applyNumberFormat="1" applyFont="1" applyFill="1" applyBorder="1" applyAlignment="1" applyProtection="1">
      <alignment horizontal="right"/>
      <protection/>
    </xf>
    <xf numFmtId="3" fontId="5" fillId="0" borderId="0" xfId="0" applyNumberFormat="1" applyFont="1" applyFill="1" applyBorder="1" applyAlignment="1" applyProtection="1">
      <alignment horizontal="right"/>
      <protection/>
    </xf>
    <xf numFmtId="3" fontId="3" fillId="0" borderId="0" xfId="0" applyNumberFormat="1" applyFont="1" applyFill="1" applyBorder="1" applyAlignment="1" applyProtection="1">
      <alignment horizontal="right"/>
      <protection/>
    </xf>
    <xf numFmtId="3" fontId="2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 applyProtection="1">
      <alignment/>
      <protection locked="0"/>
    </xf>
    <xf numFmtId="3" fontId="6" fillId="0" borderId="0" xfId="0" applyNumberFormat="1" applyFont="1" applyFill="1" applyBorder="1" applyAlignment="1" applyProtection="1">
      <alignment horizontal="right"/>
      <protection/>
    </xf>
    <xf numFmtId="3" fontId="6" fillId="0" borderId="0" xfId="0" applyNumberFormat="1" applyFont="1" applyFill="1" applyBorder="1" applyAlignment="1" applyProtection="1">
      <alignment horizontal="right"/>
      <protection locked="0"/>
    </xf>
    <xf numFmtId="3" fontId="6" fillId="0" borderId="0" xfId="0" applyNumberFormat="1" applyFont="1" applyFill="1" applyBorder="1" applyAlignment="1">
      <alignment horizontal="right"/>
    </xf>
    <xf numFmtId="3" fontId="2" fillId="0" borderId="0" xfId="49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 applyProtection="1">
      <alignment horizontal="right"/>
      <protection locked="0"/>
    </xf>
    <xf numFmtId="3" fontId="2" fillId="0" borderId="0" xfId="55" applyNumberFormat="1" applyFont="1" applyFill="1" applyBorder="1" applyAlignment="1" applyProtection="1">
      <alignment horizontal="right"/>
      <protection/>
    </xf>
    <xf numFmtId="3" fontId="2" fillId="0" borderId="0" xfId="0" applyNumberFormat="1" applyFont="1" applyFill="1" applyAlignment="1">
      <alignment horizontal="right"/>
    </xf>
    <xf numFmtId="3" fontId="6" fillId="0" borderId="0" xfId="0" applyNumberFormat="1" applyFont="1" applyFill="1" applyAlignment="1">
      <alignment horizontal="right"/>
    </xf>
    <xf numFmtId="3" fontId="2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2" fillId="0" borderId="0" xfId="0" applyNumberFormat="1" applyFont="1" applyAlignment="1">
      <alignment/>
    </xf>
    <xf numFmtId="9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3" fillId="0" borderId="0" xfId="0" applyFont="1" applyAlignment="1">
      <alignment/>
    </xf>
    <xf numFmtId="0" fontId="0" fillId="0" borderId="0" xfId="0" applyBorder="1" applyAlignment="1">
      <alignment/>
    </xf>
    <xf numFmtId="0" fontId="15" fillId="0" borderId="0" xfId="0" applyFont="1" applyAlignment="1">
      <alignment/>
    </xf>
    <xf numFmtId="0" fontId="24" fillId="0" borderId="0" xfId="0" applyFont="1" applyAlignment="1">
      <alignment/>
    </xf>
    <xf numFmtId="37" fontId="22" fillId="0" borderId="10" xfId="0" applyNumberFormat="1" applyFont="1" applyBorder="1" applyAlignment="1" applyProtection="1">
      <alignment horizontal="left"/>
      <protection/>
    </xf>
    <xf numFmtId="37" fontId="22" fillId="0" borderId="10" xfId="0" applyNumberFormat="1" applyFont="1" applyFill="1" applyBorder="1" applyAlignment="1" applyProtection="1">
      <alignment horizontal="center"/>
      <protection/>
    </xf>
    <xf numFmtId="37" fontId="22" fillId="0" borderId="11" xfId="0" applyNumberFormat="1" applyFont="1" applyBorder="1" applyAlignment="1" applyProtection="1">
      <alignment horizontal="left"/>
      <protection/>
    </xf>
    <xf numFmtId="41" fontId="22" fillId="0" borderId="11" xfId="0" applyNumberFormat="1" applyFont="1" applyFill="1" applyBorder="1" applyAlignment="1" applyProtection="1">
      <alignment horizontal="left"/>
      <protection/>
    </xf>
    <xf numFmtId="37" fontId="25" fillId="0" borderId="11" xfId="0" applyNumberFormat="1" applyFont="1" applyBorder="1" applyAlignment="1" applyProtection="1">
      <alignment horizontal="left"/>
      <protection/>
    </xf>
    <xf numFmtId="41" fontId="25" fillId="0" borderId="11" xfId="0" applyNumberFormat="1" applyFont="1" applyFill="1" applyBorder="1" applyAlignment="1" applyProtection="1">
      <alignment horizontal="right"/>
      <protection/>
    </xf>
    <xf numFmtId="37" fontId="25" fillId="0" borderId="11" xfId="0" applyNumberFormat="1" applyFont="1" applyBorder="1" applyAlignment="1" applyProtection="1" quotePrefix="1">
      <alignment horizontal="left"/>
      <protection/>
    </xf>
    <xf numFmtId="37" fontId="22" fillId="0" borderId="14" xfId="0" applyNumberFormat="1" applyFont="1" applyFill="1" applyBorder="1" applyAlignment="1" applyProtection="1">
      <alignment horizontal="left"/>
      <protection/>
    </xf>
    <xf numFmtId="10" fontId="22" fillId="0" borderId="0" xfId="0" applyNumberFormat="1" applyFont="1" applyFill="1" applyBorder="1" applyAlignment="1" applyProtection="1">
      <alignment horizontal="right"/>
      <protection/>
    </xf>
    <xf numFmtId="177" fontId="25" fillId="0" borderId="15" xfId="48" applyNumberFormat="1" applyFont="1" applyBorder="1" applyAlignment="1" applyProtection="1">
      <alignment horizontal="left"/>
      <protection/>
    </xf>
    <xf numFmtId="10" fontId="26" fillId="32" borderId="15" xfId="0" applyNumberFormat="1" applyFont="1" applyFill="1" applyBorder="1" applyAlignment="1" applyProtection="1">
      <alignment horizontal="right"/>
      <protection/>
    </xf>
    <xf numFmtId="10" fontId="26" fillId="0" borderId="0" xfId="0" applyNumberFormat="1" applyFont="1" applyFill="1" applyBorder="1" applyAlignment="1" applyProtection="1">
      <alignment horizontal="right"/>
      <protection/>
    </xf>
    <xf numFmtId="10" fontId="26" fillId="0" borderId="13" xfId="0" applyNumberFormat="1" applyFont="1" applyFill="1" applyBorder="1" applyAlignment="1" applyProtection="1">
      <alignment horizontal="right"/>
      <protection locked="0"/>
    </xf>
    <xf numFmtId="10" fontId="26" fillId="0" borderId="0" xfId="0" applyNumberFormat="1" applyFont="1" applyFill="1" applyBorder="1" applyAlignment="1" applyProtection="1">
      <alignment horizontal="right"/>
      <protection locked="0"/>
    </xf>
    <xf numFmtId="37" fontId="25" fillId="0" borderId="10" xfId="0" applyNumberFormat="1" applyFont="1" applyBorder="1" applyAlignment="1" applyProtection="1">
      <alignment horizontal="left"/>
      <protection/>
    </xf>
    <xf numFmtId="10" fontId="26" fillId="32" borderId="10" xfId="0" applyNumberFormat="1" applyFont="1" applyFill="1" applyBorder="1" applyAlignment="1" applyProtection="1">
      <alignment horizontal="right"/>
      <protection locked="0"/>
    </xf>
    <xf numFmtId="10" fontId="26" fillId="32" borderId="11" xfId="0" applyNumberFormat="1" applyFont="1" applyFill="1" applyBorder="1" applyAlignment="1" applyProtection="1">
      <alignment horizontal="right"/>
      <protection/>
    </xf>
    <xf numFmtId="37" fontId="25" fillId="0" borderId="12" xfId="0" applyNumberFormat="1" applyFont="1" applyBorder="1" applyAlignment="1" applyProtection="1">
      <alignment horizontal="left"/>
      <protection/>
    </xf>
    <xf numFmtId="10" fontId="26" fillId="32" borderId="12" xfId="0" applyNumberFormat="1" applyFont="1" applyFill="1" applyBorder="1" applyAlignment="1" applyProtection="1">
      <alignment horizontal="right"/>
      <protection/>
    </xf>
    <xf numFmtId="10" fontId="26" fillId="32" borderId="10" xfId="0" applyNumberFormat="1" applyFont="1" applyFill="1" applyBorder="1" applyAlignment="1" applyProtection="1">
      <alignment horizontal="right"/>
      <protection/>
    </xf>
    <xf numFmtId="37" fontId="25" fillId="0" borderId="15" xfId="0" applyNumberFormat="1" applyFont="1" applyBorder="1" applyAlignment="1" applyProtection="1">
      <alignment horizontal="left"/>
      <protection/>
    </xf>
    <xf numFmtId="41" fontId="26" fillId="0" borderId="13" xfId="0" applyNumberFormat="1" applyFont="1" applyFill="1" applyBorder="1" applyAlignment="1">
      <alignment horizontal="right"/>
    </xf>
    <xf numFmtId="41" fontId="26" fillId="0" borderId="0" xfId="0" applyNumberFormat="1" applyFont="1" applyFill="1" applyBorder="1" applyAlignment="1">
      <alignment horizontal="right"/>
    </xf>
    <xf numFmtId="37" fontId="25" fillId="0" borderId="16" xfId="0" applyNumberFormat="1" applyFont="1" applyBorder="1" applyAlignment="1" applyProtection="1" quotePrefix="1">
      <alignment horizontal="left"/>
      <protection/>
    </xf>
    <xf numFmtId="41" fontId="26" fillId="32" borderId="16" xfId="0" applyNumberFormat="1" applyFont="1" applyFill="1" applyBorder="1" applyAlignment="1" applyProtection="1">
      <alignment horizontal="right"/>
      <protection/>
    </xf>
    <xf numFmtId="41" fontId="26" fillId="0" borderId="0" xfId="0" applyNumberFormat="1" applyFont="1" applyFill="1" applyBorder="1" applyAlignment="1" applyProtection="1">
      <alignment horizontal="right"/>
      <protection/>
    </xf>
    <xf numFmtId="37" fontId="22" fillId="0" borderId="0" xfId="0" applyNumberFormat="1" applyFont="1" applyBorder="1" applyAlignment="1" applyProtection="1">
      <alignment horizontal="left"/>
      <protection/>
    </xf>
    <xf numFmtId="0" fontId="25" fillId="0" borderId="0" xfId="0" applyFont="1" applyFill="1" applyAlignment="1">
      <alignment horizontal="right"/>
    </xf>
    <xf numFmtId="0" fontId="0" fillId="0" borderId="0" xfId="0" applyFont="1" applyBorder="1" applyAlignment="1">
      <alignment/>
    </xf>
    <xf numFmtId="37" fontId="22" fillId="0" borderId="0" xfId="0" applyNumberFormat="1" applyFont="1" applyFill="1" applyBorder="1" applyAlignment="1" applyProtection="1">
      <alignment horizontal="center" vertical="center"/>
      <protection/>
    </xf>
    <xf numFmtId="37" fontId="22" fillId="0" borderId="0" xfId="0" applyNumberFormat="1" applyFont="1" applyFill="1" applyBorder="1" applyAlignment="1" applyProtection="1">
      <alignment horizontal="center"/>
      <protection/>
    </xf>
    <xf numFmtId="0" fontId="24" fillId="0" borderId="0" xfId="0" applyFont="1" applyFill="1" applyBorder="1" applyAlignment="1">
      <alignment/>
    </xf>
    <xf numFmtId="37" fontId="22" fillId="0" borderId="0" xfId="0" applyNumberFormat="1" applyFont="1" applyFill="1" applyBorder="1" applyAlignment="1" applyProtection="1">
      <alignment horizontal="left"/>
      <protection/>
    </xf>
    <xf numFmtId="37" fontId="25" fillId="0" borderId="0" xfId="0" applyNumberFormat="1" applyFont="1" applyFill="1" applyBorder="1" applyAlignment="1" applyProtection="1">
      <alignment horizontal="left"/>
      <protection/>
    </xf>
    <xf numFmtId="37" fontId="25" fillId="0" borderId="0" xfId="0" applyNumberFormat="1" applyFont="1" applyFill="1" applyBorder="1" applyAlignment="1" applyProtection="1" quotePrefix="1">
      <alignment horizontal="left"/>
      <protection/>
    </xf>
    <xf numFmtId="37" fontId="25" fillId="0" borderId="0" xfId="0" applyNumberFormat="1" applyFont="1" applyFill="1" applyBorder="1" applyAlignment="1" applyProtection="1">
      <alignment horizontal="center" vertical="center" textRotation="1"/>
      <protection/>
    </xf>
    <xf numFmtId="177" fontId="25" fillId="0" borderId="0" xfId="48" applyNumberFormat="1" applyFont="1" applyFill="1" applyBorder="1" applyAlignment="1" applyProtection="1">
      <alignment horizontal="left"/>
      <protection/>
    </xf>
    <xf numFmtId="37" fontId="22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>
      <alignment horizontal="center"/>
    </xf>
    <xf numFmtId="0" fontId="15" fillId="0" borderId="0" xfId="0" applyFont="1" applyBorder="1" applyAlignment="1">
      <alignment horizontal="left"/>
    </xf>
    <xf numFmtId="41" fontId="19" fillId="0" borderId="15" xfId="0" applyNumberFormat="1" applyFont="1" applyFill="1" applyBorder="1" applyAlignment="1" applyProtection="1">
      <alignment horizontal="right"/>
      <protection/>
    </xf>
    <xf numFmtId="41" fontId="13" fillId="0" borderId="0" xfId="0" applyNumberFormat="1" applyFont="1" applyAlignment="1">
      <alignment/>
    </xf>
    <xf numFmtId="41" fontId="20" fillId="0" borderId="12" xfId="0" applyNumberFormat="1" applyFont="1" applyFill="1" applyBorder="1" applyAlignment="1" applyProtection="1">
      <alignment horizontal="right"/>
      <protection/>
    </xf>
    <xf numFmtId="41" fontId="20" fillId="0" borderId="17" xfId="0" applyNumberFormat="1" applyFont="1" applyFill="1" applyBorder="1" applyAlignment="1" applyProtection="1">
      <alignment horizontal="right"/>
      <protection/>
    </xf>
    <xf numFmtId="37" fontId="18" fillId="0" borderId="18" xfId="0" applyNumberFormat="1" applyFont="1" applyFill="1" applyBorder="1" applyAlignment="1" applyProtection="1">
      <alignment horizontal="center"/>
      <protection/>
    </xf>
    <xf numFmtId="10" fontId="18" fillId="0" borderId="19" xfId="0" applyNumberFormat="1" applyFont="1" applyFill="1" applyBorder="1" applyAlignment="1" applyProtection="1">
      <alignment horizontal="right"/>
      <protection/>
    </xf>
    <xf numFmtId="10" fontId="21" fillId="32" borderId="20" xfId="0" applyNumberFormat="1" applyFont="1" applyFill="1" applyBorder="1" applyAlignment="1" applyProtection="1">
      <alignment horizontal="right"/>
      <protection/>
    </xf>
    <xf numFmtId="0" fontId="27" fillId="0" borderId="0" xfId="0" applyFont="1" applyAlignment="1">
      <alignment/>
    </xf>
    <xf numFmtId="0" fontId="28" fillId="0" borderId="0" xfId="0" applyFont="1" applyBorder="1" applyAlignment="1">
      <alignment horizontal="left"/>
    </xf>
    <xf numFmtId="0" fontId="29" fillId="0" borderId="0" xfId="0" applyFont="1" applyAlignment="1">
      <alignment/>
    </xf>
    <xf numFmtId="41" fontId="22" fillId="0" borderId="11" xfId="0" applyNumberFormat="1" applyFont="1" applyFill="1" applyBorder="1" applyAlignment="1" applyProtection="1">
      <alignment horizontal="right"/>
      <protection/>
    </xf>
    <xf numFmtId="0" fontId="0" fillId="0" borderId="21" xfId="0" applyBorder="1" applyAlignment="1">
      <alignment/>
    </xf>
    <xf numFmtId="0" fontId="13" fillId="0" borderId="21" xfId="0" applyFont="1" applyBorder="1" applyAlignment="1">
      <alignment/>
    </xf>
    <xf numFmtId="171" fontId="0" fillId="0" borderId="0" xfId="0" applyNumberFormat="1" applyAlignment="1">
      <alignment/>
    </xf>
    <xf numFmtId="9" fontId="13" fillId="0" borderId="21" xfId="55" applyFont="1" applyBorder="1" applyAlignment="1">
      <alignment/>
    </xf>
    <xf numFmtId="0" fontId="14" fillId="0" borderId="21" xfId="0" applyFont="1" applyBorder="1" applyAlignment="1">
      <alignment/>
    </xf>
    <xf numFmtId="37" fontId="18" fillId="33" borderId="10" xfId="0" applyNumberFormat="1" applyFont="1" applyFill="1" applyBorder="1" applyAlignment="1" applyProtection="1">
      <alignment horizontal="center"/>
      <protection/>
    </xf>
    <xf numFmtId="41" fontId="18" fillId="33" borderId="11" xfId="0" applyNumberFormat="1" applyFont="1" applyFill="1" applyBorder="1" applyAlignment="1" applyProtection="1">
      <alignment horizontal="left"/>
      <protection/>
    </xf>
    <xf numFmtId="41" fontId="19" fillId="33" borderId="11" xfId="0" applyNumberFormat="1" applyFont="1" applyFill="1" applyBorder="1" applyAlignment="1" applyProtection="1">
      <alignment horizontal="right"/>
      <protection/>
    </xf>
    <xf numFmtId="41" fontId="20" fillId="33" borderId="11" xfId="0" applyNumberFormat="1" applyFont="1" applyFill="1" applyBorder="1" applyAlignment="1" applyProtection="1">
      <alignment horizontal="right"/>
      <protection/>
    </xf>
    <xf numFmtId="41" fontId="18" fillId="33" borderId="11" xfId="0" applyNumberFormat="1" applyFont="1" applyFill="1" applyBorder="1" applyAlignment="1" applyProtection="1">
      <alignment horizontal="right"/>
      <protection/>
    </xf>
    <xf numFmtId="41" fontId="19" fillId="33" borderId="11" xfId="0" applyNumberFormat="1" applyFont="1" applyFill="1" applyBorder="1" applyAlignment="1">
      <alignment horizontal="right"/>
    </xf>
    <xf numFmtId="37" fontId="18" fillId="0" borderId="17" xfId="0" applyNumberFormat="1" applyFont="1" applyFill="1" applyBorder="1" applyAlignment="1" applyProtection="1">
      <alignment horizontal="center"/>
      <protection/>
    </xf>
    <xf numFmtId="37" fontId="1" fillId="0" borderId="0" xfId="0" applyNumberFormat="1" applyFont="1" applyFill="1" applyBorder="1" applyAlignment="1" applyProtection="1">
      <alignment/>
      <protection/>
    </xf>
    <xf numFmtId="10" fontId="22" fillId="0" borderId="19" xfId="0" applyNumberFormat="1" applyFont="1" applyFill="1" applyBorder="1" applyAlignment="1" applyProtection="1">
      <alignment horizontal="right"/>
      <protection/>
    </xf>
    <xf numFmtId="10" fontId="26" fillId="32" borderId="20" xfId="0" applyNumberFormat="1" applyFont="1" applyFill="1" applyBorder="1" applyAlignment="1" applyProtection="1">
      <alignment horizontal="right"/>
      <protection/>
    </xf>
    <xf numFmtId="1" fontId="0" fillId="0" borderId="0" xfId="0" applyNumberFormat="1" applyBorder="1" applyAlignment="1">
      <alignment/>
    </xf>
    <xf numFmtId="37" fontId="18" fillId="0" borderId="22" xfId="0" applyNumberFormat="1" applyFont="1" applyFill="1" applyBorder="1" applyAlignment="1" applyProtection="1">
      <alignment horizontal="left"/>
      <protection/>
    </xf>
    <xf numFmtId="177" fontId="19" fillId="0" borderId="20" xfId="48" applyNumberFormat="1" applyFont="1" applyBorder="1" applyAlignment="1" applyProtection="1">
      <alignment horizontal="left"/>
      <protection/>
    </xf>
    <xf numFmtId="41" fontId="19" fillId="33" borderId="15" xfId="0" applyNumberFormat="1" applyFont="1" applyFill="1" applyBorder="1" applyAlignment="1" applyProtection="1">
      <alignment horizontal="right"/>
      <protection/>
    </xf>
    <xf numFmtId="37" fontId="99" fillId="0" borderId="23" xfId="0" applyNumberFormat="1" applyFont="1" applyBorder="1" applyAlignment="1" applyProtection="1" quotePrefix="1">
      <alignment horizontal="left"/>
      <protection/>
    </xf>
    <xf numFmtId="41" fontId="99" fillId="0" borderId="23" xfId="0" applyNumberFormat="1" applyFont="1" applyFill="1" applyBorder="1" applyAlignment="1" applyProtection="1">
      <alignment horizontal="right"/>
      <protection locked="0"/>
    </xf>
    <xf numFmtId="41" fontId="100" fillId="0" borderId="0" xfId="0" applyNumberFormat="1" applyFont="1" applyFill="1" applyBorder="1" applyAlignment="1" applyProtection="1">
      <alignment horizontal="right"/>
      <protection locked="0"/>
    </xf>
    <xf numFmtId="0" fontId="101" fillId="0" borderId="0" xfId="0" applyFont="1" applyFill="1" applyBorder="1" applyAlignment="1">
      <alignment/>
    </xf>
    <xf numFmtId="0" fontId="101" fillId="0" borderId="0" xfId="0" applyFont="1" applyAlignment="1">
      <alignment/>
    </xf>
    <xf numFmtId="37" fontId="99" fillId="0" borderId="11" xfId="0" applyNumberFormat="1" applyFont="1" applyBorder="1" applyAlignment="1" applyProtection="1">
      <alignment horizontal="left"/>
      <protection/>
    </xf>
    <xf numFmtId="41" fontId="99" fillId="0" borderId="11" xfId="0" applyNumberFormat="1" applyFont="1" applyFill="1" applyBorder="1" applyAlignment="1" applyProtection="1">
      <alignment horizontal="right"/>
      <protection/>
    </xf>
    <xf numFmtId="41" fontId="100" fillId="0" borderId="0" xfId="0" applyNumberFormat="1" applyFont="1" applyFill="1" applyBorder="1" applyAlignment="1" applyProtection="1">
      <alignment horizontal="right"/>
      <protection/>
    </xf>
    <xf numFmtId="0" fontId="102" fillId="0" borderId="0" xfId="0" applyFont="1" applyFill="1" applyBorder="1" applyAlignment="1">
      <alignment/>
    </xf>
    <xf numFmtId="0" fontId="102" fillId="0" borderId="0" xfId="0" applyFont="1" applyAlignment="1">
      <alignment/>
    </xf>
    <xf numFmtId="37" fontId="103" fillId="0" borderId="11" xfId="0" applyNumberFormat="1" applyFont="1" applyBorder="1" applyAlignment="1" applyProtection="1">
      <alignment horizontal="left"/>
      <protection/>
    </xf>
    <xf numFmtId="41" fontId="103" fillId="0" borderId="11" xfId="0" applyNumberFormat="1" applyFont="1" applyFill="1" applyBorder="1" applyAlignment="1" applyProtection="1">
      <alignment horizontal="right"/>
      <protection/>
    </xf>
    <xf numFmtId="41" fontId="103" fillId="33" borderId="11" xfId="0" applyNumberFormat="1" applyFont="1" applyFill="1" applyBorder="1" applyAlignment="1" applyProtection="1">
      <alignment horizontal="right"/>
      <protection/>
    </xf>
    <xf numFmtId="3" fontId="100" fillId="0" borderId="0" xfId="0" applyNumberFormat="1" applyFont="1" applyFill="1" applyBorder="1" applyAlignment="1" applyProtection="1">
      <alignment horizontal="right"/>
      <protection/>
    </xf>
    <xf numFmtId="37" fontId="103" fillId="0" borderId="23" xfId="0" applyNumberFormat="1" applyFont="1" applyBorder="1" applyAlignment="1" applyProtection="1" quotePrefix="1">
      <alignment horizontal="left"/>
      <protection/>
    </xf>
    <xf numFmtId="41" fontId="103" fillId="0" borderId="23" xfId="0" applyNumberFormat="1" applyFont="1" applyFill="1" applyBorder="1" applyAlignment="1" applyProtection="1">
      <alignment horizontal="right"/>
      <protection locked="0"/>
    </xf>
    <xf numFmtId="41" fontId="103" fillId="33" borderId="23" xfId="0" applyNumberFormat="1" applyFont="1" applyFill="1" applyBorder="1" applyAlignment="1" applyProtection="1">
      <alignment horizontal="right"/>
      <protection locked="0"/>
    </xf>
    <xf numFmtId="3" fontId="100" fillId="0" borderId="0" xfId="0" applyNumberFormat="1" applyFont="1" applyFill="1" applyBorder="1" applyAlignment="1" applyProtection="1">
      <alignment horizontal="right"/>
      <protection locked="0"/>
    </xf>
    <xf numFmtId="0" fontId="104" fillId="0" borderId="0" xfId="0" applyFont="1" applyFill="1" applyBorder="1" applyAlignment="1">
      <alignment/>
    </xf>
    <xf numFmtId="0" fontId="104" fillId="0" borderId="0" xfId="0" applyFont="1" applyAlignment="1">
      <alignment/>
    </xf>
    <xf numFmtId="41" fontId="105" fillId="0" borderId="0" xfId="0" applyNumberFormat="1" applyFont="1" applyFill="1" applyBorder="1" applyAlignment="1" applyProtection="1">
      <alignment horizontal="right"/>
      <protection locked="0"/>
    </xf>
    <xf numFmtId="0" fontId="15" fillId="0" borderId="19" xfId="0" applyFont="1" applyBorder="1" applyAlignment="1">
      <alignment/>
    </xf>
    <xf numFmtId="14" fontId="22" fillId="32" borderId="20" xfId="0" applyNumberFormat="1" applyFont="1" applyFill="1" applyBorder="1" applyAlignment="1" applyProtection="1">
      <alignment horizontal="center"/>
      <protection/>
    </xf>
    <xf numFmtId="14" fontId="18" fillId="32" borderId="20" xfId="0" applyNumberFormat="1" applyFont="1" applyFill="1" applyBorder="1" applyAlignment="1" applyProtection="1">
      <alignment horizontal="center"/>
      <protection/>
    </xf>
    <xf numFmtId="14" fontId="22" fillId="34" borderId="20" xfId="0" applyNumberFormat="1" applyFont="1" applyFill="1" applyBorder="1" applyAlignment="1" applyProtection="1">
      <alignment horizontal="center"/>
      <protection/>
    </xf>
    <xf numFmtId="0" fontId="27" fillId="0" borderId="0" xfId="0" applyFont="1" applyBorder="1" applyAlignment="1">
      <alignment/>
    </xf>
    <xf numFmtId="41" fontId="27" fillId="0" borderId="11" xfId="0" applyNumberFormat="1" applyFont="1" applyFill="1" applyBorder="1" applyAlignment="1" applyProtection="1">
      <alignment horizontal="right"/>
      <protection/>
    </xf>
    <xf numFmtId="0" fontId="15" fillId="0" borderId="19" xfId="0" applyFont="1" applyBorder="1" applyAlignment="1">
      <alignment horizontal="left"/>
    </xf>
    <xf numFmtId="3" fontId="1" fillId="0" borderId="0" xfId="0" applyNumberFormat="1" applyFont="1" applyFill="1" applyBorder="1" applyAlignment="1">
      <alignment/>
    </xf>
    <xf numFmtId="3" fontId="3" fillId="0" borderId="17" xfId="0" applyNumberFormat="1" applyFont="1" applyFill="1" applyBorder="1" applyAlignment="1" applyProtection="1">
      <alignment horizontal="center"/>
      <protection/>
    </xf>
    <xf numFmtId="3" fontId="3" fillId="0" borderId="11" xfId="0" applyNumberFormat="1" applyFont="1" applyFill="1" applyBorder="1" applyAlignment="1" applyProtection="1">
      <alignment horizontal="left"/>
      <protection/>
    </xf>
    <xf numFmtId="41" fontId="18" fillId="0" borderId="23" xfId="0" applyNumberFormat="1" applyFont="1" applyFill="1" applyBorder="1" applyAlignment="1" applyProtection="1">
      <alignment horizontal="right"/>
      <protection locked="0"/>
    </xf>
    <xf numFmtId="37" fontId="3" fillId="0" borderId="24" xfId="0" applyNumberFormat="1" applyFont="1" applyFill="1" applyBorder="1" applyAlignment="1" applyProtection="1">
      <alignment horizontal="center"/>
      <protection/>
    </xf>
    <xf numFmtId="41" fontId="3" fillId="0" borderId="25" xfId="0" applyNumberFormat="1" applyFont="1" applyFill="1" applyBorder="1" applyAlignment="1" applyProtection="1">
      <alignment horizontal="left"/>
      <protection/>
    </xf>
    <xf numFmtId="41" fontId="19" fillId="0" borderId="25" xfId="0" applyNumberFormat="1" applyFont="1" applyFill="1" applyBorder="1" applyAlignment="1" applyProtection="1">
      <alignment horizontal="right"/>
      <protection/>
    </xf>
    <xf numFmtId="41" fontId="20" fillId="0" borderId="25" xfId="0" applyNumberFormat="1" applyFont="1" applyFill="1" applyBorder="1" applyAlignment="1" applyProtection="1">
      <alignment horizontal="right"/>
      <protection/>
    </xf>
    <xf numFmtId="41" fontId="18" fillId="0" borderId="25" xfId="0" applyNumberFormat="1" applyFont="1" applyFill="1" applyBorder="1" applyAlignment="1" applyProtection="1">
      <alignment horizontal="right"/>
      <protection/>
    </xf>
    <xf numFmtId="41" fontId="19" fillId="0" borderId="25" xfId="0" applyNumberFormat="1" applyFont="1" applyFill="1" applyBorder="1" applyAlignment="1">
      <alignment horizontal="right"/>
    </xf>
    <xf numFmtId="41" fontId="18" fillId="0" borderId="26" xfId="0" applyNumberFormat="1" applyFont="1" applyFill="1" applyBorder="1" applyAlignment="1" applyProtection="1">
      <alignment horizontal="right"/>
      <protection locked="0"/>
    </xf>
    <xf numFmtId="37" fontId="18" fillId="0" borderId="27" xfId="0" applyNumberFormat="1" applyFont="1" applyFill="1" applyBorder="1" applyAlignment="1" applyProtection="1">
      <alignment horizontal="center"/>
      <protection/>
    </xf>
    <xf numFmtId="37" fontId="3" fillId="0" borderId="25" xfId="0" applyNumberFormat="1" applyFont="1" applyFill="1" applyBorder="1" applyAlignment="1" applyProtection="1">
      <alignment horizontal="center"/>
      <protection/>
    </xf>
    <xf numFmtId="41" fontId="18" fillId="0" borderId="28" xfId="0" applyNumberFormat="1" applyFont="1" applyFill="1" applyBorder="1" applyAlignment="1" applyProtection="1">
      <alignment horizontal="left"/>
      <protection/>
    </xf>
    <xf numFmtId="41" fontId="18" fillId="0" borderId="23" xfId="0" applyNumberFormat="1" applyFont="1" applyFill="1" applyBorder="1" applyAlignment="1" applyProtection="1">
      <alignment horizontal="right"/>
      <protection/>
    </xf>
    <xf numFmtId="41" fontId="18" fillId="0" borderId="10" xfId="0" applyNumberFormat="1" applyFont="1" applyFill="1" applyBorder="1" applyAlignment="1" applyProtection="1">
      <alignment horizontal="right"/>
      <protection/>
    </xf>
    <xf numFmtId="37" fontId="18" fillId="0" borderId="29" xfId="0" applyNumberFormat="1" applyFont="1" applyFill="1" applyBorder="1" applyAlignment="1" applyProtection="1">
      <alignment horizontal="center"/>
      <protection/>
    </xf>
    <xf numFmtId="37" fontId="18" fillId="0" borderId="24" xfId="0" applyNumberFormat="1" applyFont="1" applyFill="1" applyBorder="1" applyAlignment="1" applyProtection="1">
      <alignment horizontal="center"/>
      <protection/>
    </xf>
    <xf numFmtId="41" fontId="18" fillId="0" borderId="30" xfId="0" applyNumberFormat="1" applyFont="1" applyFill="1" applyBorder="1" applyAlignment="1" applyProtection="1">
      <alignment horizontal="left"/>
      <protection/>
    </xf>
    <xf numFmtId="41" fontId="18" fillId="0" borderId="25" xfId="0" applyNumberFormat="1" applyFont="1" applyFill="1" applyBorder="1" applyAlignment="1" applyProtection="1">
      <alignment horizontal="left"/>
      <protection/>
    </xf>
    <xf numFmtId="37" fontId="18" fillId="0" borderId="31" xfId="0" applyNumberFormat="1" applyFont="1" applyFill="1" applyBorder="1" applyAlignment="1" applyProtection="1">
      <alignment horizontal="center"/>
      <protection/>
    </xf>
    <xf numFmtId="41" fontId="18" fillId="0" borderId="32" xfId="0" applyNumberFormat="1" applyFont="1" applyFill="1" applyBorder="1" applyAlignment="1" applyProtection="1">
      <alignment horizontal="left"/>
      <protection/>
    </xf>
    <xf numFmtId="37" fontId="18" fillId="0" borderId="30" xfId="0" applyNumberFormat="1" applyFont="1" applyFill="1" applyBorder="1" applyAlignment="1" applyProtection="1">
      <alignment horizontal="center"/>
      <protection/>
    </xf>
    <xf numFmtId="37" fontId="18" fillId="0" borderId="32" xfId="0" applyNumberFormat="1" applyFont="1" applyFill="1" applyBorder="1" applyAlignment="1" applyProtection="1">
      <alignment horizontal="center"/>
      <protection/>
    </xf>
    <xf numFmtId="177" fontId="27" fillId="0" borderId="30" xfId="48" applyNumberFormat="1" applyFont="1" applyFill="1" applyBorder="1" applyAlignment="1">
      <alignment/>
    </xf>
    <xf numFmtId="177" fontId="27" fillId="0" borderId="32" xfId="48" applyNumberFormat="1" applyFont="1" applyFill="1" applyBorder="1" applyAlignment="1">
      <alignment/>
    </xf>
    <xf numFmtId="41" fontId="27" fillId="0" borderId="30" xfId="0" applyNumberFormat="1" applyFont="1" applyFill="1" applyBorder="1" applyAlignment="1" applyProtection="1">
      <alignment horizontal="right"/>
      <protection/>
    </xf>
    <xf numFmtId="41" fontId="27" fillId="0" borderId="32" xfId="0" applyNumberFormat="1" applyFont="1" applyFill="1" applyBorder="1" applyAlignment="1" applyProtection="1">
      <alignment horizontal="right"/>
      <protection/>
    </xf>
    <xf numFmtId="177" fontId="27" fillId="0" borderId="25" xfId="48" applyNumberFormat="1" applyFont="1" applyFill="1" applyBorder="1" applyAlignment="1">
      <alignment/>
    </xf>
    <xf numFmtId="177" fontId="28" fillId="0" borderId="30" xfId="48" applyNumberFormat="1" applyFont="1" applyFill="1" applyBorder="1" applyAlignment="1">
      <alignment/>
    </xf>
    <xf numFmtId="177" fontId="28" fillId="0" borderId="32" xfId="48" applyNumberFormat="1" applyFont="1" applyFill="1" applyBorder="1" applyAlignment="1">
      <alignment/>
    </xf>
    <xf numFmtId="41" fontId="30" fillId="0" borderId="30" xfId="0" applyNumberFormat="1" applyFont="1" applyFill="1" applyBorder="1" applyAlignment="1" applyProtection="1">
      <alignment horizontal="right"/>
      <protection/>
    </xf>
    <xf numFmtId="41" fontId="30" fillId="0" borderId="32" xfId="0" applyNumberFormat="1" applyFont="1" applyFill="1" applyBorder="1" applyAlignment="1" applyProtection="1">
      <alignment horizontal="right"/>
      <protection/>
    </xf>
    <xf numFmtId="177" fontId="28" fillId="0" borderId="25" xfId="48" applyNumberFormat="1" applyFont="1" applyFill="1" applyBorder="1" applyAlignment="1">
      <alignment/>
    </xf>
    <xf numFmtId="41" fontId="28" fillId="0" borderId="30" xfId="0" applyNumberFormat="1" applyFont="1" applyFill="1" applyBorder="1" applyAlignment="1" applyProtection="1">
      <alignment horizontal="right"/>
      <protection/>
    </xf>
    <xf numFmtId="41" fontId="28" fillId="0" borderId="32" xfId="0" applyNumberFormat="1" applyFont="1" applyFill="1" applyBorder="1" applyAlignment="1" applyProtection="1">
      <alignment horizontal="right"/>
      <protection/>
    </xf>
    <xf numFmtId="177" fontId="106" fillId="0" borderId="25" xfId="48" applyNumberFormat="1" applyFont="1" applyFill="1" applyBorder="1" applyAlignment="1">
      <alignment/>
    </xf>
    <xf numFmtId="177" fontId="107" fillId="0" borderId="32" xfId="48" applyNumberFormat="1" applyFont="1" applyFill="1" applyBorder="1" applyAlignment="1">
      <alignment/>
    </xf>
    <xf numFmtId="41" fontId="27" fillId="0" borderId="30" xfId="0" applyNumberFormat="1" applyFont="1" applyFill="1" applyBorder="1" applyAlignment="1">
      <alignment horizontal="right"/>
    </xf>
    <xf numFmtId="41" fontId="27" fillId="0" borderId="32" xfId="0" applyNumberFormat="1" applyFont="1" applyFill="1" applyBorder="1" applyAlignment="1">
      <alignment horizontal="right"/>
    </xf>
    <xf numFmtId="177" fontId="28" fillId="0" borderId="33" xfId="48" applyNumberFormat="1" applyFont="1" applyFill="1" applyBorder="1" applyAlignment="1">
      <alignment/>
    </xf>
    <xf numFmtId="177" fontId="28" fillId="0" borderId="34" xfId="48" applyNumberFormat="1" applyFont="1" applyFill="1" applyBorder="1" applyAlignment="1">
      <alignment/>
    </xf>
    <xf numFmtId="37" fontId="22" fillId="0" borderId="17" xfId="0" applyNumberFormat="1" applyFont="1" applyFill="1" applyBorder="1" applyAlignment="1" applyProtection="1">
      <alignment horizontal="right"/>
      <protection/>
    </xf>
    <xf numFmtId="10" fontId="21" fillId="35" borderId="15" xfId="0" applyNumberFormat="1" applyFont="1" applyFill="1" applyBorder="1" applyAlignment="1" applyProtection="1">
      <alignment horizontal="right"/>
      <protection/>
    </xf>
    <xf numFmtId="10" fontId="21" fillId="35" borderId="10" xfId="0" applyNumberFormat="1" applyFont="1" applyFill="1" applyBorder="1" applyAlignment="1" applyProtection="1">
      <alignment horizontal="right"/>
      <protection locked="0"/>
    </xf>
    <xf numFmtId="10" fontId="21" fillId="35" borderId="11" xfId="0" applyNumberFormat="1" applyFont="1" applyFill="1" applyBorder="1" applyAlignment="1" applyProtection="1">
      <alignment horizontal="right"/>
      <protection/>
    </xf>
    <xf numFmtId="10" fontId="21" fillId="35" borderId="12" xfId="0" applyNumberFormat="1" applyFont="1" applyFill="1" applyBorder="1" applyAlignment="1" applyProtection="1">
      <alignment horizontal="right"/>
      <protection/>
    </xf>
    <xf numFmtId="10" fontId="21" fillId="35" borderId="10" xfId="0" applyNumberFormat="1" applyFont="1" applyFill="1" applyBorder="1" applyAlignment="1" applyProtection="1">
      <alignment horizontal="right"/>
      <protection/>
    </xf>
    <xf numFmtId="41" fontId="108" fillId="35" borderId="16" xfId="0" applyNumberFormat="1" applyFont="1" applyFill="1" applyBorder="1" applyAlignment="1" applyProtection="1">
      <alignment horizontal="right"/>
      <protection/>
    </xf>
    <xf numFmtId="14" fontId="18" fillId="36" borderId="20" xfId="0" applyNumberFormat="1" applyFont="1" applyFill="1" applyBorder="1" applyAlignment="1" applyProtection="1">
      <alignment horizontal="center"/>
      <protection/>
    </xf>
    <xf numFmtId="10" fontId="21" fillId="35" borderId="20" xfId="0" applyNumberFormat="1" applyFont="1" applyFill="1" applyBorder="1" applyAlignment="1" applyProtection="1">
      <alignment horizontal="right"/>
      <protection/>
    </xf>
    <xf numFmtId="41" fontId="21" fillId="35" borderId="16" xfId="0" applyNumberFormat="1" applyFont="1" applyFill="1" applyBorder="1" applyAlignment="1" applyProtection="1">
      <alignment horizontal="right"/>
      <protection/>
    </xf>
    <xf numFmtId="41" fontId="107" fillId="0" borderId="33" xfId="0" applyNumberFormat="1" applyFont="1" applyFill="1" applyBorder="1" applyAlignment="1" applyProtection="1">
      <alignment horizontal="right"/>
      <protection locked="0"/>
    </xf>
    <xf numFmtId="41" fontId="107" fillId="0" borderId="34" xfId="0" applyNumberFormat="1" applyFont="1" applyFill="1" applyBorder="1" applyAlignment="1" applyProtection="1">
      <alignment horizontal="right"/>
      <protection locked="0"/>
    </xf>
    <xf numFmtId="41" fontId="107" fillId="0" borderId="30" xfId="0" applyNumberFormat="1" applyFont="1" applyFill="1" applyBorder="1" applyAlignment="1" applyProtection="1">
      <alignment horizontal="right"/>
      <protection/>
    </xf>
    <xf numFmtId="41" fontId="107" fillId="0" borderId="32" xfId="0" applyNumberFormat="1" applyFont="1" applyFill="1" applyBorder="1" applyAlignment="1" applyProtection="1">
      <alignment horizontal="right"/>
      <protection/>
    </xf>
    <xf numFmtId="41" fontId="107" fillId="0" borderId="11" xfId="0" applyNumberFormat="1" applyFont="1" applyFill="1" applyBorder="1" applyAlignment="1" applyProtection="1">
      <alignment horizontal="right"/>
      <protection/>
    </xf>
    <xf numFmtId="41" fontId="28" fillId="0" borderId="11" xfId="0" applyNumberFormat="1" applyFont="1" applyFill="1" applyBorder="1" applyAlignment="1" applyProtection="1">
      <alignment horizontal="right"/>
      <protection/>
    </xf>
    <xf numFmtId="41" fontId="27" fillId="0" borderId="34" xfId="0" applyNumberFormat="1" applyFont="1" applyFill="1" applyBorder="1" applyAlignment="1" applyProtection="1">
      <alignment horizontal="right"/>
      <protection locked="0"/>
    </xf>
    <xf numFmtId="41" fontId="109" fillId="32" borderId="16" xfId="0" applyNumberFormat="1" applyFont="1" applyFill="1" applyBorder="1" applyAlignment="1" applyProtection="1">
      <alignment horizontal="right"/>
      <protection/>
    </xf>
    <xf numFmtId="41" fontId="20" fillId="0" borderId="10" xfId="0" applyNumberFormat="1" applyFont="1" applyFill="1" applyBorder="1" applyAlignment="1" applyProtection="1">
      <alignment horizontal="right"/>
      <protection/>
    </xf>
    <xf numFmtId="41" fontId="20" fillId="0" borderId="35" xfId="0" applyNumberFormat="1" applyFont="1" applyFill="1" applyBorder="1" applyAlignment="1" applyProtection="1">
      <alignment horizontal="right"/>
      <protection/>
    </xf>
    <xf numFmtId="41" fontId="20" fillId="0" borderId="23" xfId="0" applyNumberFormat="1" applyFont="1" applyFill="1" applyBorder="1" applyAlignment="1" applyProtection="1">
      <alignment horizontal="right"/>
      <protection/>
    </xf>
    <xf numFmtId="41" fontId="20" fillId="0" borderId="26" xfId="0" applyNumberFormat="1" applyFont="1" applyFill="1" applyBorder="1" applyAlignment="1" applyProtection="1">
      <alignment horizontal="right"/>
      <protection/>
    </xf>
    <xf numFmtId="0" fontId="28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14" fontId="18" fillId="34" borderId="20" xfId="0" applyNumberFormat="1" applyFont="1" applyFill="1" applyBorder="1" applyAlignment="1" applyProtection="1">
      <alignment horizontal="center"/>
      <protection/>
    </xf>
    <xf numFmtId="0" fontId="32" fillId="0" borderId="29" xfId="0" applyFont="1" applyFill="1" applyBorder="1" applyAlignment="1">
      <alignment/>
    </xf>
    <xf numFmtId="0" fontId="32" fillId="0" borderId="31" xfId="0" applyFont="1" applyFill="1" applyBorder="1" applyAlignment="1">
      <alignment/>
    </xf>
    <xf numFmtId="0" fontId="32" fillId="0" borderId="30" xfId="0" applyFont="1" applyFill="1" applyBorder="1" applyAlignment="1">
      <alignment/>
    </xf>
    <xf numFmtId="0" fontId="32" fillId="0" borderId="32" xfId="0" applyFont="1" applyFill="1" applyBorder="1" applyAlignment="1">
      <alignment/>
    </xf>
    <xf numFmtId="0" fontId="33" fillId="0" borderId="0" xfId="0" applyFont="1" applyAlignment="1">
      <alignment/>
    </xf>
    <xf numFmtId="37" fontId="110" fillId="0" borderId="11" xfId="0" applyNumberFormat="1" applyFont="1" applyBorder="1" applyAlignment="1" applyProtection="1">
      <alignment horizontal="left"/>
      <protection/>
    </xf>
    <xf numFmtId="0" fontId="106" fillId="0" borderId="0" xfId="0" applyFont="1" applyAlignment="1">
      <alignment/>
    </xf>
    <xf numFmtId="177" fontId="33" fillId="0" borderId="0" xfId="0" applyNumberFormat="1" applyFont="1" applyAlignment="1">
      <alignment/>
    </xf>
    <xf numFmtId="37" fontId="18" fillId="0" borderId="23" xfId="0" applyNumberFormat="1" applyFont="1" applyBorder="1" applyAlignment="1" applyProtection="1" quotePrefix="1">
      <alignment horizontal="left"/>
      <protection/>
    </xf>
    <xf numFmtId="0" fontId="34" fillId="0" borderId="0" xfId="0" applyFont="1" applyAlignment="1">
      <alignment/>
    </xf>
    <xf numFmtId="0" fontId="28" fillId="0" borderId="19" xfId="0" applyFont="1" applyBorder="1" applyAlignment="1">
      <alignment horizontal="left"/>
    </xf>
    <xf numFmtId="41" fontId="29" fillId="0" borderId="0" xfId="0" applyNumberFormat="1" applyFont="1" applyAlignment="1">
      <alignment vertical="center" wrapText="1"/>
    </xf>
    <xf numFmtId="41" fontId="29" fillId="0" borderId="0" xfId="0" applyNumberFormat="1" applyFont="1" applyAlignment="1">
      <alignment/>
    </xf>
    <xf numFmtId="0" fontId="29" fillId="0" borderId="0" xfId="0" applyFont="1" applyAlignment="1">
      <alignment vertical="center" wrapText="1"/>
    </xf>
    <xf numFmtId="0" fontId="32" fillId="0" borderId="0" xfId="0" applyFont="1" applyBorder="1" applyAlignment="1">
      <alignment vertical="center" wrapText="1"/>
    </xf>
    <xf numFmtId="41" fontId="107" fillId="0" borderId="0" xfId="0" applyNumberFormat="1" applyFont="1" applyFill="1" applyBorder="1" applyAlignment="1" applyProtection="1">
      <alignment horizontal="right"/>
      <protection locked="0"/>
    </xf>
    <xf numFmtId="41" fontId="107" fillId="0" borderId="26" xfId="0" applyNumberFormat="1" applyFont="1" applyFill="1" applyBorder="1" applyAlignment="1" applyProtection="1">
      <alignment horizontal="right"/>
      <protection locked="0"/>
    </xf>
    <xf numFmtId="37" fontId="18" fillId="0" borderId="36" xfId="0" applyNumberFormat="1" applyFont="1" applyFill="1" applyBorder="1" applyAlignment="1" applyProtection="1">
      <alignment horizontal="center"/>
      <protection/>
    </xf>
    <xf numFmtId="41" fontId="18" fillId="0" borderId="37" xfId="0" applyNumberFormat="1" applyFont="1" applyFill="1" applyBorder="1" applyAlignment="1" applyProtection="1">
      <alignment horizontal="left"/>
      <protection/>
    </xf>
    <xf numFmtId="177" fontId="27" fillId="0" borderId="37" xfId="48" applyNumberFormat="1" applyFont="1" applyFill="1" applyBorder="1" applyAlignment="1">
      <alignment/>
    </xf>
    <xf numFmtId="177" fontId="28" fillId="0" borderId="37" xfId="48" applyNumberFormat="1" applyFont="1" applyFill="1" applyBorder="1" applyAlignment="1">
      <alignment/>
    </xf>
    <xf numFmtId="41" fontId="28" fillId="0" borderId="38" xfId="0" applyNumberFormat="1" applyFont="1" applyFill="1" applyBorder="1" applyAlignment="1" applyProtection="1">
      <alignment horizontal="right"/>
      <protection locked="0"/>
    </xf>
    <xf numFmtId="14" fontId="18" fillId="34" borderId="18" xfId="0" applyNumberFormat="1" applyFont="1" applyFill="1" applyBorder="1" applyAlignment="1" applyProtection="1">
      <alignment horizontal="center"/>
      <protection/>
    </xf>
    <xf numFmtId="177" fontId="106" fillId="0" borderId="30" xfId="48" applyNumberFormat="1" applyFont="1" applyFill="1" applyBorder="1" applyAlignment="1">
      <alignment/>
    </xf>
    <xf numFmtId="41" fontId="107" fillId="0" borderId="25" xfId="0" applyNumberFormat="1" applyFont="1" applyFill="1" applyBorder="1" applyAlignment="1" applyProtection="1">
      <alignment horizontal="right"/>
      <protection locked="0"/>
    </xf>
    <xf numFmtId="41" fontId="28" fillId="0" borderId="26" xfId="0" applyNumberFormat="1" applyFont="1" applyFill="1" applyBorder="1" applyAlignment="1" applyProtection="1">
      <alignment horizontal="right"/>
      <protection locked="0"/>
    </xf>
    <xf numFmtId="0" fontId="15" fillId="35" borderId="21" xfId="0" applyFont="1" applyFill="1" applyBorder="1" applyAlignment="1">
      <alignment horizontal="center"/>
    </xf>
    <xf numFmtId="0" fontId="15" fillId="37" borderId="21" xfId="0" applyFont="1" applyFill="1" applyBorder="1" applyAlignment="1">
      <alignment/>
    </xf>
    <xf numFmtId="9" fontId="15" fillId="37" borderId="21" xfId="55" applyFont="1" applyFill="1" applyBorder="1" applyAlignment="1">
      <alignment/>
    </xf>
    <xf numFmtId="41" fontId="22" fillId="0" borderId="23" xfId="0" applyNumberFormat="1" applyFont="1" applyFill="1" applyBorder="1" applyAlignment="1" applyProtection="1">
      <alignment horizontal="right"/>
      <protection locked="0"/>
    </xf>
    <xf numFmtId="41" fontId="25" fillId="0" borderId="12" xfId="0" applyNumberFormat="1" applyFont="1" applyFill="1" applyBorder="1" applyAlignment="1" applyProtection="1">
      <alignment horizontal="right"/>
      <protection/>
    </xf>
    <xf numFmtId="41" fontId="25" fillId="0" borderId="10" xfId="0" applyNumberFormat="1" applyFont="1" applyFill="1" applyBorder="1" applyAlignment="1" applyProtection="1">
      <alignment horizontal="right"/>
      <protection/>
    </xf>
    <xf numFmtId="37" fontId="22" fillId="0" borderId="20" xfId="0" applyNumberFormat="1" applyFont="1" applyBorder="1" applyAlignment="1" applyProtection="1">
      <alignment horizontal="left"/>
      <protection/>
    </xf>
    <xf numFmtId="41" fontId="22" fillId="0" borderId="20" xfId="0" applyNumberFormat="1" applyFont="1" applyFill="1" applyBorder="1" applyAlignment="1" applyProtection="1">
      <alignment horizontal="right"/>
      <protection/>
    </xf>
    <xf numFmtId="41" fontId="23" fillId="0" borderId="20" xfId="0" applyNumberFormat="1" applyFont="1" applyFill="1" applyBorder="1" applyAlignment="1" applyProtection="1">
      <alignment horizontal="right"/>
      <protection/>
    </xf>
    <xf numFmtId="41" fontId="22" fillId="0" borderId="10" xfId="0" applyNumberFormat="1" applyFont="1" applyFill="1" applyBorder="1" applyAlignment="1" applyProtection="1">
      <alignment horizontal="right"/>
      <protection/>
    </xf>
    <xf numFmtId="37" fontId="25" fillId="0" borderId="12" xfId="0" applyNumberFormat="1" applyFont="1" applyBorder="1" applyAlignment="1" applyProtection="1" quotePrefix="1">
      <alignment horizontal="left"/>
      <protection/>
    </xf>
    <xf numFmtId="37" fontId="22" fillId="0" borderId="10" xfId="0" applyNumberFormat="1" applyFont="1" applyBorder="1" applyAlignment="1" applyProtection="1" quotePrefix="1">
      <alignment horizontal="left"/>
      <protection/>
    </xf>
    <xf numFmtId="41" fontId="23" fillId="0" borderId="10" xfId="0" applyNumberFormat="1" applyFont="1" applyFill="1" applyBorder="1" applyAlignment="1" applyProtection="1">
      <alignment horizontal="right"/>
      <protection/>
    </xf>
    <xf numFmtId="41" fontId="99" fillId="0" borderId="10" xfId="0" applyNumberFormat="1" applyFont="1" applyFill="1" applyBorder="1" applyAlignment="1" applyProtection="1">
      <alignment horizontal="right"/>
      <protection/>
    </xf>
    <xf numFmtId="0" fontId="0" fillId="0" borderId="27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39" xfId="0" applyBorder="1" applyAlignment="1">
      <alignment horizontal="left" vertical="top" wrapText="1"/>
    </xf>
    <xf numFmtId="177" fontId="0" fillId="0" borderId="21" xfId="48" applyNumberFormat="1" applyFont="1" applyBorder="1" applyAlignment="1">
      <alignment/>
    </xf>
    <xf numFmtId="0" fontId="0" fillId="0" borderId="30" xfId="0" applyBorder="1" applyAlignment="1">
      <alignment/>
    </xf>
    <xf numFmtId="0" fontId="0" fillId="0" borderId="33" xfId="0" applyBorder="1" applyAlignment="1">
      <alignment/>
    </xf>
    <xf numFmtId="177" fontId="0" fillId="0" borderId="25" xfId="48" applyNumberFormat="1" applyFont="1" applyBorder="1" applyAlignment="1">
      <alignment/>
    </xf>
    <xf numFmtId="177" fontId="0" fillId="0" borderId="40" xfId="48" applyNumberFormat="1" applyFont="1" applyBorder="1" applyAlignment="1">
      <alignment/>
    </xf>
    <xf numFmtId="177" fontId="0" fillId="0" borderId="26" xfId="48" applyNumberFormat="1" applyFont="1" applyBorder="1" applyAlignment="1">
      <alignment/>
    </xf>
    <xf numFmtId="177" fontId="0" fillId="0" borderId="41" xfId="48" applyNumberFormat="1" applyFont="1" applyBorder="1" applyAlignment="1">
      <alignment/>
    </xf>
    <xf numFmtId="177" fontId="0" fillId="0" borderId="35" xfId="48" applyNumberFormat="1" applyFont="1" applyBorder="1" applyAlignment="1">
      <alignment/>
    </xf>
    <xf numFmtId="14" fontId="14" fillId="0" borderId="20" xfId="0" applyNumberFormat="1" applyFont="1" applyBorder="1" applyAlignment="1">
      <alignment horizontal="center"/>
    </xf>
    <xf numFmtId="0" fontId="0" fillId="0" borderId="42" xfId="0" applyFont="1" applyBorder="1" applyAlignment="1">
      <alignment/>
    </xf>
    <xf numFmtId="0" fontId="14" fillId="0" borderId="20" xfId="0" applyFont="1" applyBorder="1" applyAlignment="1">
      <alignment horizontal="center"/>
    </xf>
    <xf numFmtId="0" fontId="111" fillId="38" borderId="14" xfId="0" applyFont="1" applyFill="1" applyBorder="1" applyAlignment="1">
      <alignment horizontal="left" vertical="top" wrapText="1"/>
    </xf>
    <xf numFmtId="0" fontId="111" fillId="38" borderId="13" xfId="0" applyFont="1" applyFill="1" applyBorder="1" applyAlignment="1">
      <alignment horizontal="left" vertical="top" wrapText="1"/>
    </xf>
    <xf numFmtId="0" fontId="111" fillId="38" borderId="43" xfId="0" applyFont="1" applyFill="1" applyBorder="1" applyAlignment="1">
      <alignment horizontal="left" vertical="top" wrapText="1"/>
    </xf>
    <xf numFmtId="0" fontId="14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44" xfId="0" applyFont="1" applyBorder="1" applyAlignment="1">
      <alignment horizontal="center"/>
    </xf>
    <xf numFmtId="0" fontId="0" fillId="0" borderId="45" xfId="0" applyFont="1" applyBorder="1" applyAlignment="1">
      <alignment horizontal="left" vertical="top" wrapText="1"/>
    </xf>
    <xf numFmtId="0" fontId="0" fillId="0" borderId="46" xfId="0" applyBorder="1" applyAlignment="1">
      <alignment horizontal="left" vertical="top" wrapText="1"/>
    </xf>
    <xf numFmtId="0" fontId="0" fillId="0" borderId="47" xfId="0" applyBorder="1" applyAlignment="1">
      <alignment horizontal="left" vertical="top" wrapText="1"/>
    </xf>
    <xf numFmtId="0" fontId="0" fillId="0" borderId="22" xfId="0" applyFont="1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48" xfId="0" applyBorder="1" applyAlignment="1">
      <alignment horizontal="left" vertical="top" wrapText="1"/>
    </xf>
    <xf numFmtId="0" fontId="0" fillId="0" borderId="27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39" xfId="0" applyBorder="1" applyAlignment="1">
      <alignment horizontal="left" vertical="top" wrapText="1"/>
    </xf>
    <xf numFmtId="0" fontId="15" fillId="35" borderId="21" xfId="0" applyFont="1" applyFill="1" applyBorder="1" applyAlignment="1">
      <alignment horizontal="center"/>
    </xf>
    <xf numFmtId="0" fontId="15" fillId="35" borderId="21" xfId="0" applyFont="1" applyFill="1" applyBorder="1" applyAlignment="1">
      <alignment horizontal="center" vertical="center" wrapText="1"/>
    </xf>
    <xf numFmtId="0" fontId="22" fillId="39" borderId="14" xfId="0" applyFont="1" applyFill="1" applyBorder="1" applyAlignment="1">
      <alignment horizontal="center" vertical="center" wrapText="1"/>
    </xf>
    <xf numFmtId="0" fontId="22" fillId="39" borderId="43" xfId="0" applyFont="1" applyFill="1" applyBorder="1" applyAlignment="1">
      <alignment horizontal="center" vertical="center" wrapText="1"/>
    </xf>
    <xf numFmtId="37" fontId="22" fillId="0" borderId="18" xfId="0" applyNumberFormat="1" applyFont="1" applyFill="1" applyBorder="1" applyAlignment="1" applyProtection="1">
      <alignment horizontal="center" vertical="center"/>
      <protection/>
    </xf>
    <xf numFmtId="37" fontId="22" fillId="0" borderId="16" xfId="0" applyNumberFormat="1" applyFont="1" applyFill="1" applyBorder="1" applyAlignment="1" applyProtection="1">
      <alignment horizontal="center" vertical="center"/>
      <protection/>
    </xf>
    <xf numFmtId="37" fontId="10" fillId="0" borderId="0" xfId="0" applyNumberFormat="1" applyFont="1" applyFill="1" applyBorder="1" applyAlignment="1" applyProtection="1">
      <alignment horizontal="center"/>
      <protection locked="0"/>
    </xf>
    <xf numFmtId="37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>
      <alignment horizontal="center"/>
    </xf>
    <xf numFmtId="37" fontId="10" fillId="0" borderId="0" xfId="0" applyNumberFormat="1" applyFont="1" applyFill="1" applyBorder="1" applyAlignment="1" applyProtection="1" quotePrefix="1">
      <alignment horizontal="center"/>
      <protection/>
    </xf>
    <xf numFmtId="37" fontId="10" fillId="0" borderId="0" xfId="0" applyNumberFormat="1" applyFont="1" applyFill="1" applyBorder="1" applyAlignment="1" applyProtection="1">
      <alignment horizontal="center"/>
      <protection/>
    </xf>
    <xf numFmtId="37" fontId="1" fillId="0" borderId="0" xfId="0" applyNumberFormat="1" applyFont="1" applyFill="1" applyBorder="1" applyAlignment="1" applyProtection="1" quotePrefix="1">
      <alignment horizontal="center"/>
      <protection/>
    </xf>
    <xf numFmtId="37" fontId="10" fillId="0" borderId="0" xfId="0" applyNumberFormat="1" applyFont="1" applyFill="1" applyBorder="1" applyAlignment="1" applyProtection="1" quotePrefix="1">
      <alignment horizontal="center"/>
      <protection locked="0"/>
    </xf>
    <xf numFmtId="37" fontId="10" fillId="0" borderId="0" xfId="0" applyNumberFormat="1" applyFont="1" applyFill="1" applyBorder="1" applyAlignment="1">
      <alignment horizontal="center"/>
    </xf>
    <xf numFmtId="0" fontId="22" fillId="39" borderId="13" xfId="0" applyFont="1" applyFill="1" applyBorder="1" applyAlignment="1">
      <alignment horizontal="center" vertical="center" wrapText="1"/>
    </xf>
    <xf numFmtId="37" fontId="22" fillId="0" borderId="20" xfId="0" applyNumberFormat="1" applyFont="1" applyFill="1" applyBorder="1" applyAlignment="1" applyProtection="1">
      <alignment horizontal="center" vertical="center"/>
      <protection/>
    </xf>
    <xf numFmtId="37" fontId="25" fillId="0" borderId="20" xfId="0" applyNumberFormat="1" applyFont="1" applyFill="1" applyBorder="1" applyAlignment="1" applyProtection="1">
      <alignment horizontal="center" vertical="center" textRotation="1"/>
      <protection/>
    </xf>
    <xf numFmtId="0" fontId="18" fillId="39" borderId="14" xfId="0" applyFont="1" applyFill="1" applyBorder="1" applyAlignment="1">
      <alignment horizontal="center" vertical="center" wrapText="1"/>
    </xf>
    <xf numFmtId="0" fontId="18" fillId="39" borderId="43" xfId="0" applyFont="1" applyFill="1" applyBorder="1" applyAlignment="1">
      <alignment horizontal="center" vertical="center" wrapText="1"/>
    </xf>
    <xf numFmtId="0" fontId="18" fillId="39" borderId="13" xfId="0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/>
    </xf>
    <xf numFmtId="37" fontId="18" fillId="0" borderId="20" xfId="0" applyNumberFormat="1" applyFont="1" applyFill="1" applyBorder="1" applyAlignment="1" applyProtection="1">
      <alignment horizontal="center" vertical="center"/>
      <protection/>
    </xf>
    <xf numFmtId="37" fontId="19" fillId="0" borderId="20" xfId="0" applyNumberFormat="1" applyFont="1" applyFill="1" applyBorder="1" applyAlignment="1" applyProtection="1">
      <alignment horizontal="center" vertical="center" textRotation="1"/>
      <protection/>
    </xf>
    <xf numFmtId="37" fontId="18" fillId="0" borderId="18" xfId="0" applyNumberFormat="1" applyFont="1" applyFill="1" applyBorder="1" applyAlignment="1" applyProtection="1">
      <alignment horizontal="center" vertical="center"/>
      <protection/>
    </xf>
    <xf numFmtId="37" fontId="18" fillId="0" borderId="16" xfId="0" applyNumberFormat="1" applyFont="1" applyFill="1" applyBorder="1" applyAlignment="1" applyProtection="1">
      <alignment horizontal="center" vertical="center"/>
      <protection/>
    </xf>
    <xf numFmtId="0" fontId="18" fillId="39" borderId="14" xfId="0" applyFont="1" applyFill="1" applyBorder="1" applyAlignment="1">
      <alignment horizontal="center"/>
    </xf>
    <xf numFmtId="0" fontId="18" fillId="39" borderId="43" xfId="0" applyFont="1" applyFill="1" applyBorder="1" applyAlignment="1">
      <alignment horizontal="center"/>
    </xf>
    <xf numFmtId="0" fontId="18" fillId="39" borderId="18" xfId="0" applyFont="1" applyFill="1" applyBorder="1" applyAlignment="1">
      <alignment horizontal="center"/>
    </xf>
    <xf numFmtId="0" fontId="18" fillId="39" borderId="16" xfId="0" applyFont="1" applyFill="1" applyBorder="1" applyAlignment="1">
      <alignment horizontal="center"/>
    </xf>
    <xf numFmtId="0" fontId="18" fillId="39" borderId="13" xfId="0" applyFont="1" applyFill="1" applyBorder="1" applyAlignment="1">
      <alignment horizontal="center"/>
    </xf>
    <xf numFmtId="37" fontId="18" fillId="0" borderId="17" xfId="0" applyNumberFormat="1" applyFont="1" applyFill="1" applyBorder="1" applyAlignment="1" applyProtection="1">
      <alignment horizontal="center" vertical="center"/>
      <protection/>
    </xf>
    <xf numFmtId="37" fontId="19" fillId="0" borderId="23" xfId="0" applyNumberFormat="1" applyFont="1" applyFill="1" applyBorder="1" applyAlignment="1" applyProtection="1">
      <alignment horizontal="center" vertical="center" textRotation="1"/>
      <protection/>
    </xf>
    <xf numFmtId="0" fontId="18" fillId="39" borderId="14" xfId="0" applyFont="1" applyFill="1" applyBorder="1" applyAlignment="1">
      <alignment horizontal="center" vertical="center"/>
    </xf>
    <xf numFmtId="0" fontId="18" fillId="39" borderId="43" xfId="0" applyFont="1" applyFill="1" applyBorder="1" applyAlignment="1">
      <alignment horizontal="center" vertical="center"/>
    </xf>
    <xf numFmtId="0" fontId="18" fillId="39" borderId="22" xfId="0" applyFont="1" applyFill="1" applyBorder="1" applyAlignment="1">
      <alignment horizontal="center"/>
    </xf>
    <xf numFmtId="0" fontId="18" fillId="39" borderId="48" xfId="0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TRANSPORTE AÉREO - BALANCE GENERAL Y RESULTADOS I SEMESTRE 2011 - 2012</a:t>
            </a:r>
          </a:p>
        </c:rich>
      </c:tx>
      <c:layout>
        <c:manualLayout>
          <c:xMode val="factor"/>
          <c:yMode val="factor"/>
          <c:x val="-0.00125"/>
          <c:y val="-0.01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225"/>
          <c:y val="0.10625"/>
          <c:w val="0.90175"/>
          <c:h val="0.70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1!$K$2</c:f>
              <c:strCache>
                <c:ptCount val="1"/>
                <c:pt idx="0">
                  <c:v>30/06/2011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1!$J$3:$J$9</c:f>
              <c:strCache/>
            </c:strRef>
          </c:cat>
          <c:val>
            <c:numRef>
              <c:f>1!$K$3:$K$9</c:f>
              <c:numCache/>
            </c:numRef>
          </c:val>
        </c:ser>
        <c:ser>
          <c:idx val="1"/>
          <c:order val="1"/>
          <c:tx>
            <c:strRef>
              <c:f>1!$L$2</c:f>
              <c:strCache>
                <c:ptCount val="1"/>
                <c:pt idx="0">
                  <c:v>30/06/2012</c:v>
                </c:pt>
              </c:strCache>
            </c:strRef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1!$J$3:$J$9</c:f>
              <c:strCache/>
            </c:strRef>
          </c:cat>
          <c:val>
            <c:numRef>
              <c:f>1!$L$3:$L$9</c:f>
              <c:numCache/>
            </c:numRef>
          </c:val>
        </c:ser>
        <c:axId val="56597514"/>
        <c:axId val="39615579"/>
      </c:barChart>
      <c:catAx>
        <c:axId val="5659751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615579"/>
        <c:crosses val="autoZero"/>
        <c:auto val="1"/>
        <c:lblOffset val="100"/>
        <c:tickLblSkip val="1"/>
        <c:noMultiLvlLbl val="0"/>
      </c:catAx>
      <c:valAx>
        <c:axId val="396155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Miles de $</a:t>
                </a:r>
              </a:p>
            </c:rich>
          </c:tx>
          <c:layout>
            <c:manualLayout>
              <c:xMode val="factor"/>
              <c:yMode val="factor"/>
              <c:x val="-0.0382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6597514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3175">
          <a:solidFill>
            <a:srgbClr val="993366"/>
          </a:solidFill>
        </a:ln>
        <a:effectLst>
          <a:outerShdw dist="35921" dir="2700000" algn="br">
            <a:prstClr val="black"/>
          </a:outerShdw>
        </a:effectLst>
      </c:spPr>
    </c:plotArea>
    <c:plotVisOnly val="1"/>
    <c:dispBlanksAs val="gap"/>
    <c:showDLblsOverMax val="0"/>
  </c:chart>
  <c:spPr>
    <a:gradFill rotWithShape="1">
      <a:gsLst>
        <a:gs pos="0">
          <a:srgbClr val="FFA2A1"/>
        </a:gs>
        <a:gs pos="35001">
          <a:srgbClr val="FFBEBD"/>
        </a:gs>
        <a:gs pos="100000">
          <a:srgbClr val="FFE5E5"/>
        </a:gs>
      </a:gsLst>
      <a:lin ang="5400000" scaled="1"/>
    </a:gradFill>
    <a:ln w="3175">
      <a:solidFill>
        <a:srgbClr val="993366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COMPARATIVO AÑOS 2008 VS 2009</a:t>
            </a:r>
          </a:p>
        </c:rich>
      </c:tx>
      <c:layout/>
      <c:spPr>
        <a:noFill/>
        <a:ln>
          <a:noFill/>
        </a:ln>
      </c:spPr>
    </c:title>
    <c:view3D>
      <c:rotX val="15"/>
      <c:hPercent val="8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2!#REF!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2!#REF!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2!#REF!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2!#REF!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21.53%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30.65% 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-6.90%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2!#REF!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2!#REF!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hape val="cylinder"/>
        <c:axId val="20995892"/>
        <c:axId val="54745301"/>
      </c:bar3DChart>
      <c:catAx>
        <c:axId val="2099589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4745301"/>
        <c:crosses val="autoZero"/>
        <c:auto val="1"/>
        <c:lblOffset val="100"/>
        <c:tickLblSkip val="1"/>
        <c:noMultiLvlLbl val="0"/>
      </c:catAx>
      <c:valAx>
        <c:axId val="547453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99589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CCCCFF"/>
            </a:gs>
            <a:gs pos="100000">
              <a:srgbClr val="969696"/>
            </a:gs>
          </a:gsLst>
          <a:lin ang="54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99CCFF"/>
            </a:gs>
            <a:gs pos="50000">
              <a:srgbClr val="FFFFFF"/>
            </a:gs>
            <a:gs pos="100000">
              <a:srgbClr val="99CCFF"/>
            </a:gs>
          </a:gsLst>
          <a:lin ang="5400000" scaled="1"/>
        </a:gradFill>
        <a:ln w="12700">
          <a:solidFill>
            <a:srgbClr val="000000"/>
          </a:solidFill>
        </a:ln>
      </c:spPr>
      <c:thickness val="0"/>
    </c:sideWall>
    <c:backWall>
      <c:spPr>
        <a:gradFill rotWithShape="1">
          <a:gsLst>
            <a:gs pos="0">
              <a:srgbClr val="99CCFF"/>
            </a:gs>
            <a:gs pos="50000">
              <a:srgbClr val="FFFFFF"/>
            </a:gs>
            <a:gs pos="100000">
              <a:srgbClr val="99CCFF"/>
            </a:gs>
          </a:gsLst>
          <a:lin ang="5400000" scaled="1"/>
        </a:gradFill>
        <a:ln w="12700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99CCFF"/>
        </a:gs>
        <a:gs pos="50000">
          <a:srgbClr val="FFFFFF"/>
        </a:gs>
        <a:gs pos="100000">
          <a:srgbClr val="99CCFF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COMPARATIVO INGRESOS VS GASTOS
 </a:t>
            </a:r>
          </a:p>
        </c:rich>
      </c:tx>
      <c:layout/>
      <c:spPr>
        <a:noFill/>
        <a:ln>
          <a:noFill/>
        </a:ln>
      </c:spPr>
    </c:title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2!#REF!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2!#REF!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2!#REF!</c:f>
              <c:numCache>
                <c:ptCount val="1"/>
                <c:pt idx="0">
                  <c:v>1</c:v>
                </c:pt>
              </c:numCache>
            </c:numRef>
          </c:val>
          <c:shape val="cone"/>
        </c:ser>
        <c:ser>
          <c:idx val="1"/>
          <c:order val="1"/>
          <c:tx>
            <c:strRef>
              <c:f>2!#REF!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2!#REF!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2!#REF!</c:f>
              <c:numCache>
                <c:ptCount val="1"/>
                <c:pt idx="0">
                  <c:v>1</c:v>
                </c:pt>
              </c:numCache>
            </c:numRef>
          </c:val>
          <c:shape val="cone"/>
        </c:ser>
        <c:shape val="cone"/>
        <c:axId val="22945662"/>
        <c:axId val="5184367"/>
      </c:bar3DChart>
      <c:catAx>
        <c:axId val="22945662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FFFFFF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184367"/>
        <c:crosses val="autoZero"/>
        <c:auto val="1"/>
        <c:lblOffset val="100"/>
        <c:tickLblSkip val="1"/>
        <c:noMultiLvlLbl val="0"/>
      </c:catAx>
      <c:valAx>
        <c:axId val="5184367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294566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00000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0" b="0" i="0" u="non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00000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000000"/>
        </a:solidFill>
        <a:ln w="12700">
          <a:solidFill>
            <a:srgbClr val="FFFFFF"/>
          </a:solidFill>
        </a:ln>
      </c:spPr>
      <c:thickness val="0"/>
    </c:sideWall>
    <c:backWall>
      <c:spPr>
        <a:solidFill>
          <a:srgbClr val="000000"/>
        </a:solidFill>
        <a:ln w="12700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000000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COMPARATIVO INGRESOS VS GASTOS
 2008 - 2009</a:t>
            </a:r>
          </a:p>
        </c:rich>
      </c:tx>
      <c:layout/>
      <c:spPr>
        <a:noFill/>
        <a:ln>
          <a:noFill/>
        </a:ln>
      </c:spPr>
    </c:title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2"/>
          <c:order val="0"/>
          <c:tx>
            <c:strRef>
              <c:f>2!#REF!</c:f>
              <c:strCache>
                <c:ptCount val="1"/>
                <c:pt idx="0">
                  <c:v>#¡REF!</c:v>
                </c:pt>
              </c:strCache>
            </c:strRef>
          </c:tx>
          <c:spPr>
            <a:pattFill prst="pct5">
              <a:fgClr>
                <a:srgbClr val="FFFF00"/>
              </a:fgClr>
              <a:bgClr>
                <a:srgbClr val="008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8000"/>
                  </a:solidFill>
                </c14:spPr>
              </c14:invertSolidFillFmt>
            </c:ext>
          </c:extLst>
          <c:cat>
            <c:strRef>
              <c:f>2!#REF!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2!#REF!</c:f>
              <c:numCache>
                <c:ptCount val="1"/>
                <c:pt idx="0">
                  <c:v>1</c:v>
                </c:pt>
              </c:numCache>
            </c:numRef>
          </c:val>
          <c:shape val="cone"/>
        </c:ser>
        <c:ser>
          <c:idx val="0"/>
          <c:order val="1"/>
          <c:tx>
            <c:strRef>
              <c:f>2!#REF!</c:f>
              <c:strCache>
                <c:ptCount val="1"/>
                <c:pt idx="0">
                  <c:v>#¡REF!</c:v>
                </c:pt>
              </c:strCache>
            </c:strRef>
          </c:tx>
          <c:spPr>
            <a:pattFill prst="pct75">
              <a:fgClr>
                <a:srgbClr val="FF9900"/>
              </a:fgClr>
              <a:bgClr>
                <a:srgbClr val="FFCC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cat>
            <c:strRef>
              <c:f>2!#REF!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2!#REF!</c:f>
              <c:numCache>
                <c:ptCount val="1"/>
                <c:pt idx="0">
                  <c:v>1</c:v>
                </c:pt>
              </c:numCache>
            </c:numRef>
          </c:val>
          <c:shape val="cone"/>
        </c:ser>
        <c:shape val="cone"/>
        <c:axId val="46659304"/>
        <c:axId val="17280553"/>
      </c:bar3DChart>
      <c:catAx>
        <c:axId val="4665930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280553"/>
        <c:crosses val="autoZero"/>
        <c:auto val="1"/>
        <c:lblOffset val="100"/>
        <c:tickLblSkip val="1"/>
        <c:noMultiLvlLbl val="0"/>
      </c:catAx>
      <c:valAx>
        <c:axId val="172805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65930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gradFill rotWithShape="1">
          <a:gsLst>
            <a:gs pos="0">
              <a:srgbClr val="808080"/>
            </a:gs>
            <a:gs pos="100000">
              <a:srgbClr val="C0C0C0"/>
            </a:gs>
          </a:gsLst>
          <a:lin ang="5400000" scaled="1"/>
        </a:gra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FFFF"/>
            </a:gs>
            <a:gs pos="100000">
              <a:srgbClr val="CC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FF"/>
            </a:gs>
            <a:gs pos="100000">
              <a:srgbClr val="CC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FFFFFF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PARTICIPACION
NGRESOS 2009 POR ACTIVIDAD VS MODALIDAD   
TRANSPORTE AEREO COLOMBIANO</a:t>
            </a:r>
          </a:p>
        </c:rich>
      </c:tx>
      <c:layout/>
      <c:spPr>
        <a:noFill/>
        <a:ln>
          <a:noFill/>
        </a:ln>
      </c:spPr>
    </c:title>
    <c:view3D>
      <c:rotX val="15"/>
      <c:hPercent val="500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2!#REF!</c:f>
              <c:strCache>
                <c:ptCount val="1"/>
                <c:pt idx="0">
                  <c:v>#¡REF!</c:v>
                </c:pt>
              </c:strCache>
            </c:strRef>
          </c:tx>
          <c:spPr>
            <a:pattFill prst="wdDnDiag">
              <a:fgClr>
                <a:srgbClr val="FFFF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2!#REF!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2!#REF!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hape val="cylinder"/>
        <c:axId val="21307250"/>
        <c:axId val="57547523"/>
      </c:bar3DChart>
      <c:catAx>
        <c:axId val="213072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547523"/>
        <c:crosses val="autoZero"/>
        <c:auto val="1"/>
        <c:lblOffset val="100"/>
        <c:tickLblSkip val="1"/>
        <c:noMultiLvlLbl val="0"/>
      </c:catAx>
      <c:valAx>
        <c:axId val="5754752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307250"/>
        <c:crossesAt val="1"/>
        <c:crossBetween val="between"/>
        <c:dispUnits/>
      </c:valAx>
      <c:spPr>
        <a:gradFill rotWithShape="1">
          <a:gsLst>
            <a:gs pos="0">
              <a:srgbClr val="00CC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FFFF"/>
            </a:gs>
            <a:gs pos="100000">
              <a:srgbClr val="99CC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FF"/>
            </a:gs>
            <a:gs pos="100000">
              <a:srgbClr val="99CC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5E9E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1.pn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13</xdr:row>
      <xdr:rowOff>0</xdr:rowOff>
    </xdr:from>
    <xdr:to>
      <xdr:col>8</xdr:col>
      <xdr:colOff>666750</xdr:colOff>
      <xdr:row>14</xdr:row>
      <xdr:rowOff>161925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3100" y="2133600"/>
          <a:ext cx="6667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28575</xdr:colOff>
      <xdr:row>13</xdr:row>
      <xdr:rowOff>47625</xdr:rowOff>
    </xdr:from>
    <xdr:to>
      <xdr:col>14</xdr:col>
      <xdr:colOff>714375</xdr:colOff>
      <xdr:row>25</xdr:row>
      <xdr:rowOff>114300</xdr:rowOff>
    </xdr:to>
    <xdr:graphicFrame>
      <xdr:nvGraphicFramePr>
        <xdr:cNvPr id="2" name="1 Gráfico"/>
        <xdr:cNvGraphicFramePr/>
      </xdr:nvGraphicFramePr>
      <xdr:xfrm>
        <a:off x="6543675" y="2181225"/>
        <a:ext cx="6315075" cy="4057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38</xdr:row>
      <xdr:rowOff>0</xdr:rowOff>
    </xdr:from>
    <xdr:to>
      <xdr:col>1</xdr:col>
      <xdr:colOff>0</xdr:colOff>
      <xdr:row>38</xdr:row>
      <xdr:rowOff>0</xdr:rowOff>
    </xdr:to>
    <xdr:graphicFrame>
      <xdr:nvGraphicFramePr>
        <xdr:cNvPr id="1" name="Gráfico 8"/>
        <xdr:cNvGraphicFramePr/>
      </xdr:nvGraphicFramePr>
      <xdr:xfrm>
        <a:off x="9525" y="7077075"/>
        <a:ext cx="19526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38</xdr:row>
      <xdr:rowOff>0</xdr:rowOff>
    </xdr:from>
    <xdr:to>
      <xdr:col>1</xdr:col>
      <xdr:colOff>0</xdr:colOff>
      <xdr:row>38</xdr:row>
      <xdr:rowOff>0</xdr:rowOff>
    </xdr:to>
    <xdr:graphicFrame>
      <xdr:nvGraphicFramePr>
        <xdr:cNvPr id="2" name="Gráfico 19"/>
        <xdr:cNvGraphicFramePr/>
      </xdr:nvGraphicFramePr>
      <xdr:xfrm>
        <a:off x="19050" y="7077075"/>
        <a:ext cx="19431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714375</xdr:colOff>
      <xdr:row>38</xdr:row>
      <xdr:rowOff>0</xdr:rowOff>
    </xdr:from>
    <xdr:to>
      <xdr:col>1</xdr:col>
      <xdr:colOff>0</xdr:colOff>
      <xdr:row>38</xdr:row>
      <xdr:rowOff>0</xdr:rowOff>
    </xdr:to>
    <xdr:graphicFrame>
      <xdr:nvGraphicFramePr>
        <xdr:cNvPr id="3" name="Gráfico 23"/>
        <xdr:cNvGraphicFramePr/>
      </xdr:nvGraphicFramePr>
      <xdr:xfrm>
        <a:off x="714375" y="7077075"/>
        <a:ext cx="12477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85725</xdr:colOff>
      <xdr:row>38</xdr:row>
      <xdr:rowOff>0</xdr:rowOff>
    </xdr:from>
    <xdr:to>
      <xdr:col>5</xdr:col>
      <xdr:colOff>0</xdr:colOff>
      <xdr:row>38</xdr:row>
      <xdr:rowOff>0</xdr:rowOff>
    </xdr:to>
    <xdr:graphicFrame>
      <xdr:nvGraphicFramePr>
        <xdr:cNvPr id="4" name="Gráfico 34"/>
        <xdr:cNvGraphicFramePr/>
      </xdr:nvGraphicFramePr>
      <xdr:xfrm>
        <a:off x="2962275" y="7077075"/>
        <a:ext cx="24288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9_0.bin" /><Relationship Id="rId2" Type="http://schemas.openxmlformats.org/officeDocument/2006/relationships/oleObject" Target="../embeddings/oleObject_9_1.bin" /><Relationship Id="rId3" Type="http://schemas.openxmlformats.org/officeDocument/2006/relationships/vmlDrawing" Target="../drawings/vmlDrawing10.v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0_0.bin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vmlDrawing" Target="../drawings/vmlDrawing4.v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oleObject" Target="../embeddings/oleObject_5_1.bin" /><Relationship Id="rId3" Type="http://schemas.openxmlformats.org/officeDocument/2006/relationships/vmlDrawing" Target="../drawings/vmlDrawing6.v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24"/>
  <sheetViews>
    <sheetView zoomScalePageLayoutView="0" workbookViewId="0" topLeftCell="A1">
      <selection activeCell="P24" sqref="P24"/>
    </sheetView>
  </sheetViews>
  <sheetFormatPr defaultColWidth="11.421875" defaultRowHeight="12.75"/>
  <cols>
    <col min="1" max="1" width="20.140625" style="0" customWidth="1"/>
    <col min="2" max="2" width="7.7109375" style="0" customWidth="1"/>
    <col min="3" max="3" width="8.140625" style="0" customWidth="1"/>
    <col min="4" max="4" width="6.8515625" style="0" customWidth="1"/>
    <col min="5" max="5" width="7.7109375" style="0" customWidth="1"/>
    <col min="6" max="6" width="12.8515625" style="0" bestFit="1" customWidth="1"/>
    <col min="10" max="10" width="33.57421875" style="0" customWidth="1"/>
    <col min="11" max="12" width="14.00390625" style="0" bestFit="1" customWidth="1"/>
  </cols>
  <sheetData>
    <row r="1" spans="1:80" ht="13.5" thickBot="1">
      <c r="A1" s="114" t="s">
        <v>80</v>
      </c>
      <c r="B1" s="22"/>
      <c r="C1" s="22"/>
      <c r="D1" s="22"/>
      <c r="E1" s="22"/>
      <c r="F1" s="22"/>
      <c r="J1" s="339" t="s">
        <v>136</v>
      </c>
      <c r="K1" s="339"/>
      <c r="L1" s="339"/>
      <c r="M1" s="5"/>
      <c r="N1" s="5"/>
      <c r="O1" s="5"/>
      <c r="BL1" s="3"/>
      <c r="BM1" s="3"/>
      <c r="CB1" s="13"/>
    </row>
    <row r="2" spans="1:80" ht="13.5" customHeight="1" thickBot="1">
      <c r="A2" s="340" t="s">
        <v>70</v>
      </c>
      <c r="B2" s="340"/>
      <c r="C2" s="340"/>
      <c r="D2" s="340"/>
      <c r="E2" s="340"/>
      <c r="F2" s="340"/>
      <c r="J2" s="335" t="s">
        <v>138</v>
      </c>
      <c r="K2" s="333">
        <v>40724</v>
      </c>
      <c r="L2" s="333">
        <v>41090</v>
      </c>
      <c r="M2" s="5"/>
      <c r="N2" s="5"/>
      <c r="O2" s="5"/>
      <c r="BL2" s="3"/>
      <c r="BM2" s="3"/>
      <c r="CB2" s="13"/>
    </row>
    <row r="3" spans="1:80" ht="12.75">
      <c r="A3" s="340" t="s">
        <v>77</v>
      </c>
      <c r="B3" s="340"/>
      <c r="C3" s="340"/>
      <c r="D3" s="340"/>
      <c r="E3" s="340"/>
      <c r="F3" s="340"/>
      <c r="J3" s="334" t="s">
        <v>16</v>
      </c>
      <c r="K3" s="331">
        <v>5590807616</v>
      </c>
      <c r="L3" s="332">
        <v>5774346207</v>
      </c>
      <c r="M3" s="5"/>
      <c r="N3" s="5"/>
      <c r="O3" s="5"/>
      <c r="BL3" s="3"/>
      <c r="BM3" s="3"/>
      <c r="CB3" s="13"/>
    </row>
    <row r="4" spans="1:80" s="66" customFormat="1" ht="12.75">
      <c r="A4" s="341" t="s">
        <v>122</v>
      </c>
      <c r="B4" s="341"/>
      <c r="C4" s="341"/>
      <c r="D4" s="341"/>
      <c r="E4" s="341"/>
      <c r="F4" s="341"/>
      <c r="J4" s="326" t="s">
        <v>21</v>
      </c>
      <c r="K4" s="325">
        <v>4851361993</v>
      </c>
      <c r="L4" s="328">
        <v>4656300739</v>
      </c>
      <c r="M4" s="5"/>
      <c r="N4" s="5"/>
      <c r="O4" s="5"/>
      <c r="BL4" s="67"/>
      <c r="BM4" s="67"/>
      <c r="CB4" s="68"/>
    </row>
    <row r="5" spans="1:12" s="65" customFormat="1" ht="12.75">
      <c r="A5" s="352" t="s">
        <v>4</v>
      </c>
      <c r="B5" s="351" t="s">
        <v>5</v>
      </c>
      <c r="C5" s="351"/>
      <c r="D5" s="351" t="s">
        <v>103</v>
      </c>
      <c r="E5" s="351"/>
      <c r="F5" s="351"/>
      <c r="G5" s="22"/>
      <c r="J5" s="326" t="s">
        <v>27</v>
      </c>
      <c r="K5" s="325">
        <v>706614966</v>
      </c>
      <c r="L5" s="328">
        <v>1118045467</v>
      </c>
    </row>
    <row r="6" spans="1:12" s="65" customFormat="1" ht="12.75">
      <c r="A6" s="352"/>
      <c r="B6" s="308" t="s">
        <v>75</v>
      </c>
      <c r="C6" s="308" t="s">
        <v>78</v>
      </c>
      <c r="D6" s="308" t="s">
        <v>0</v>
      </c>
      <c r="E6" s="308" t="s">
        <v>78</v>
      </c>
      <c r="F6" s="308" t="s">
        <v>96</v>
      </c>
      <c r="G6" s="22"/>
      <c r="J6" s="326" t="s">
        <v>31</v>
      </c>
      <c r="K6" s="325">
        <v>2837275342</v>
      </c>
      <c r="L6" s="328">
        <v>2997170017</v>
      </c>
    </row>
    <row r="7" spans="1:12" s="65" customFormat="1" ht="12.75">
      <c r="A7" s="168" t="s">
        <v>65</v>
      </c>
      <c r="B7" s="171">
        <v>4</v>
      </c>
      <c r="C7" s="170">
        <f>+B7/B$11</f>
        <v>0.25</v>
      </c>
      <c r="D7" s="167">
        <v>4</v>
      </c>
      <c r="E7" s="170">
        <f>+D7/D$11</f>
        <v>0.25</v>
      </c>
      <c r="F7" s="170">
        <f>+D7/B7</f>
        <v>1</v>
      </c>
      <c r="J7" s="326" t="s">
        <v>63</v>
      </c>
      <c r="K7" s="325">
        <v>2779271139</v>
      </c>
      <c r="L7" s="328">
        <v>2876440288</v>
      </c>
    </row>
    <row r="8" spans="1:12" s="65" customFormat="1" ht="12.75">
      <c r="A8" s="168" t="s">
        <v>69</v>
      </c>
      <c r="B8" s="171">
        <v>2</v>
      </c>
      <c r="C8" s="170">
        <f>+B8/B$11</f>
        <v>0.125</v>
      </c>
      <c r="D8" s="167">
        <v>2</v>
      </c>
      <c r="E8" s="170">
        <f>+D8/D$11</f>
        <v>0.125</v>
      </c>
      <c r="F8" s="170">
        <f>+D8/B8</f>
        <v>1</v>
      </c>
      <c r="J8" s="326" t="s">
        <v>38</v>
      </c>
      <c r="K8" s="325">
        <v>58004203</v>
      </c>
      <c r="L8" s="328">
        <v>120729729</v>
      </c>
    </row>
    <row r="9" spans="1:12" s="65" customFormat="1" ht="13.5" thickBot="1">
      <c r="A9" s="168" t="s">
        <v>74</v>
      </c>
      <c r="B9" s="171">
        <v>1</v>
      </c>
      <c r="C9" s="170">
        <f>+B9/B$11</f>
        <v>0.0625</v>
      </c>
      <c r="D9" s="167">
        <v>1</v>
      </c>
      <c r="E9" s="170">
        <f>+D9/D$11</f>
        <v>0.0625</v>
      </c>
      <c r="F9" s="170">
        <f>+D9/B9</f>
        <v>1</v>
      </c>
      <c r="J9" s="327" t="s">
        <v>39</v>
      </c>
      <c r="K9" s="329">
        <v>84586705</v>
      </c>
      <c r="L9" s="330">
        <v>74399050</v>
      </c>
    </row>
    <row r="10" spans="1:6" s="65" customFormat="1" ht="12.75">
      <c r="A10" s="168" t="s">
        <v>101</v>
      </c>
      <c r="B10" s="171">
        <v>9</v>
      </c>
      <c r="C10" s="170">
        <f>+B10/B$11</f>
        <v>0.5625</v>
      </c>
      <c r="D10" s="167">
        <v>9</v>
      </c>
      <c r="E10" s="170">
        <f>+D10/D$11</f>
        <v>0.5625</v>
      </c>
      <c r="F10" s="170">
        <f>+D10/B10</f>
        <v>1</v>
      </c>
    </row>
    <row r="11" spans="1:6" s="65" customFormat="1" ht="12.75">
      <c r="A11" s="309" t="s">
        <v>6</v>
      </c>
      <c r="B11" s="309">
        <f>SUM(B7:B10)</f>
        <v>16</v>
      </c>
      <c r="C11" s="310">
        <f>+B11/B$11</f>
        <v>1</v>
      </c>
      <c r="D11" s="309">
        <f>SUM(D7:D10)</f>
        <v>16</v>
      </c>
      <c r="E11" s="310">
        <f>+D11/D$11</f>
        <v>1</v>
      </c>
      <c r="F11" s="310">
        <f>+D11/B11</f>
        <v>1</v>
      </c>
    </row>
    <row r="12" s="65" customFormat="1" ht="12.75">
      <c r="A12" s="69" t="s">
        <v>120</v>
      </c>
    </row>
    <row r="13" spans="1:7" ht="12.75">
      <c r="A13" s="113"/>
      <c r="B13" s="113"/>
      <c r="C13" s="113"/>
      <c r="G13" s="90"/>
    </row>
    <row r="14" spans="1:3" ht="13.5" thickBot="1">
      <c r="A14" s="144"/>
      <c r="B14" s="182"/>
      <c r="C14" s="113"/>
    </row>
    <row r="15" spans="1:6" ht="14.25" customHeight="1">
      <c r="A15" s="345" t="s">
        <v>132</v>
      </c>
      <c r="B15" s="346"/>
      <c r="C15" s="346"/>
      <c r="D15" s="346"/>
      <c r="E15" s="346"/>
      <c r="F15" s="347"/>
    </row>
    <row r="16" spans="1:6" ht="9" customHeight="1">
      <c r="A16" s="322"/>
      <c r="B16" s="323"/>
      <c r="C16" s="323"/>
      <c r="D16" s="323"/>
      <c r="E16" s="323"/>
      <c r="F16" s="324"/>
    </row>
    <row r="17" spans="1:6" ht="27.75" customHeight="1">
      <c r="A17" s="348" t="s">
        <v>133</v>
      </c>
      <c r="B17" s="349"/>
      <c r="C17" s="349"/>
      <c r="D17" s="349"/>
      <c r="E17" s="349"/>
      <c r="F17" s="350"/>
    </row>
    <row r="18" spans="1:6" ht="12.75">
      <c r="A18" s="322"/>
      <c r="B18" s="323"/>
      <c r="C18" s="323"/>
      <c r="D18" s="323"/>
      <c r="E18" s="323"/>
      <c r="F18" s="324"/>
    </row>
    <row r="19" spans="1:6" ht="12.75">
      <c r="A19" s="348" t="s">
        <v>134</v>
      </c>
      <c r="B19" s="349"/>
      <c r="C19" s="349"/>
      <c r="D19" s="349"/>
      <c r="E19" s="349"/>
      <c r="F19" s="350"/>
    </row>
    <row r="20" spans="1:6" ht="12.75">
      <c r="A20" s="322"/>
      <c r="B20" s="323"/>
      <c r="C20" s="323"/>
      <c r="D20" s="323"/>
      <c r="E20" s="323"/>
      <c r="F20" s="324"/>
    </row>
    <row r="21" spans="1:6" ht="43.5" customHeight="1" thickBot="1">
      <c r="A21" s="342" t="s">
        <v>135</v>
      </c>
      <c r="B21" s="343"/>
      <c r="C21" s="343"/>
      <c r="D21" s="343"/>
      <c r="E21" s="343"/>
      <c r="F21" s="344"/>
    </row>
    <row r="23" ht="13.5" thickBot="1"/>
    <row r="24" spans="1:6" ht="129" customHeight="1" thickBot="1">
      <c r="A24" s="336" t="s">
        <v>137</v>
      </c>
      <c r="B24" s="337"/>
      <c r="C24" s="337"/>
      <c r="D24" s="337"/>
      <c r="E24" s="337"/>
      <c r="F24" s="338"/>
    </row>
  </sheetData>
  <sheetProtection/>
  <mergeCells count="12">
    <mergeCell ref="A5:A6"/>
    <mergeCell ref="D5:F5"/>
    <mergeCell ref="A24:F24"/>
    <mergeCell ref="J1:L1"/>
    <mergeCell ref="A2:F2"/>
    <mergeCell ref="A3:F3"/>
    <mergeCell ref="A4:F4"/>
    <mergeCell ref="A21:F21"/>
    <mergeCell ref="A15:F15"/>
    <mergeCell ref="A17:F17"/>
    <mergeCell ref="A19:F19"/>
    <mergeCell ref="B5:C5"/>
  </mergeCells>
  <printOptions/>
  <pageMargins left="1.5748031496062993" right="0.7874015748031497" top="1.5748031496062993" bottom="0.7874015748031497" header="0" footer="0"/>
  <pageSetup horizontalDpi="600" verticalDpi="600" orientation="landscape" r:id="rId4"/>
  <drawing r:id="rId3"/>
  <legacyDrawing r:id="rId2"/>
  <oleObjects>
    <oleObject progId="MSPhotoEd.3" shapeId="4705225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0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F42" sqref="F42"/>
    </sheetView>
  </sheetViews>
  <sheetFormatPr defaultColWidth="11.421875" defaultRowHeight="12.75"/>
  <cols>
    <col min="1" max="1" width="45.28125" style="163" bestFit="1" customWidth="1"/>
    <col min="2" max="2" width="12.140625" style="163" bestFit="1" customWidth="1"/>
    <col min="3" max="5" width="10.7109375" style="163" bestFit="1" customWidth="1"/>
    <col min="6" max="6" width="11.28125" style="163" customWidth="1"/>
    <col min="7" max="7" width="12.28125" style="163" customWidth="1"/>
    <col min="8" max="9" width="13.8515625" style="163" customWidth="1"/>
    <col min="10" max="11" width="8.7109375" style="163" customWidth="1"/>
    <col min="12" max="13" width="9.8515625" style="163" customWidth="1"/>
    <col min="14" max="15" width="12.140625" style="163" customWidth="1"/>
    <col min="16" max="17" width="11.28125" style="163" bestFit="1" customWidth="1"/>
    <col min="18" max="19" width="10.8515625" style="163" customWidth="1"/>
    <col min="20" max="21" width="12.00390625" style="163" customWidth="1"/>
    <col min="22" max="16384" width="11.57421875" style="163" customWidth="1"/>
  </cols>
  <sheetData>
    <row r="1" spans="1:5" ht="12">
      <c r="A1" s="278" t="s">
        <v>93</v>
      </c>
      <c r="D1" s="211"/>
      <c r="E1" s="211"/>
    </row>
    <row r="2" spans="1:5" ht="11.25">
      <c r="A2" s="279" t="s">
        <v>71</v>
      </c>
      <c r="D2" s="211"/>
      <c r="E2" s="211"/>
    </row>
    <row r="3" spans="1:5" ht="12">
      <c r="A3" s="278" t="s">
        <v>72</v>
      </c>
      <c r="D3" s="211"/>
      <c r="E3" s="211"/>
    </row>
    <row r="4" spans="1:5" ht="12">
      <c r="A4" s="278" t="s">
        <v>119</v>
      </c>
      <c r="D4" s="211"/>
      <c r="E4" s="211"/>
    </row>
    <row r="5" spans="1:21" ht="12" thickBot="1">
      <c r="A5" s="278" t="s">
        <v>68</v>
      </c>
      <c r="D5" s="211"/>
      <c r="E5" s="211">
        <v>1</v>
      </c>
      <c r="G5" s="163">
        <v>2</v>
      </c>
      <c r="I5" s="163">
        <v>3</v>
      </c>
      <c r="K5" s="163">
        <v>4</v>
      </c>
      <c r="M5" s="163">
        <v>5</v>
      </c>
      <c r="O5" s="163">
        <v>6</v>
      </c>
      <c r="Q5" s="163">
        <v>7</v>
      </c>
      <c r="S5" s="163">
        <v>8</v>
      </c>
      <c r="U5" s="163">
        <v>9</v>
      </c>
    </row>
    <row r="6" spans="1:21" s="280" customFormat="1" ht="27" customHeight="1" thickBot="1">
      <c r="A6" s="381" t="s">
        <v>56</v>
      </c>
      <c r="B6" s="383" t="s">
        <v>10</v>
      </c>
      <c r="C6" s="384"/>
      <c r="D6" s="383" t="s">
        <v>111</v>
      </c>
      <c r="E6" s="384"/>
      <c r="F6" s="368" t="s">
        <v>112</v>
      </c>
      <c r="G6" s="369"/>
      <c r="H6" s="385" t="s">
        <v>113</v>
      </c>
      <c r="I6" s="386"/>
      <c r="J6" s="368" t="s">
        <v>114</v>
      </c>
      <c r="K6" s="369"/>
      <c r="L6" s="368" t="s">
        <v>102</v>
      </c>
      <c r="M6" s="369"/>
      <c r="N6" s="368" t="s">
        <v>115</v>
      </c>
      <c r="O6" s="369"/>
      <c r="P6" s="368" t="s">
        <v>116</v>
      </c>
      <c r="Q6" s="369"/>
      <c r="R6" s="376" t="s">
        <v>117</v>
      </c>
      <c r="S6" s="380"/>
      <c r="T6" s="376" t="s">
        <v>118</v>
      </c>
      <c r="U6" s="377"/>
    </row>
    <row r="7" spans="1:21" s="280" customFormat="1" ht="12" thickBot="1">
      <c r="A7" s="382"/>
      <c r="B7" s="281">
        <v>40724</v>
      </c>
      <c r="C7" s="281">
        <v>41090</v>
      </c>
      <c r="D7" s="281">
        <v>40724</v>
      </c>
      <c r="E7" s="281">
        <v>41090</v>
      </c>
      <c r="F7" s="281">
        <v>40724</v>
      </c>
      <c r="G7" s="281">
        <v>41090</v>
      </c>
      <c r="H7" s="281">
        <v>40724</v>
      </c>
      <c r="I7" s="281">
        <v>41090</v>
      </c>
      <c r="J7" s="281">
        <v>40724</v>
      </c>
      <c r="K7" s="281">
        <v>41090</v>
      </c>
      <c r="L7" s="281">
        <v>40724</v>
      </c>
      <c r="M7" s="281">
        <v>41090</v>
      </c>
      <c r="N7" s="281">
        <v>40724</v>
      </c>
      <c r="O7" s="281">
        <v>41090</v>
      </c>
      <c r="P7" s="281">
        <v>40724</v>
      </c>
      <c r="Q7" s="281">
        <v>41090</v>
      </c>
      <c r="R7" s="304">
        <v>40724</v>
      </c>
      <c r="S7" s="304">
        <v>41090</v>
      </c>
      <c r="T7" s="281">
        <v>40724</v>
      </c>
      <c r="U7" s="281">
        <v>41090</v>
      </c>
    </row>
    <row r="8" spans="1:21" s="280" customFormat="1" ht="15" customHeight="1">
      <c r="A8" s="53" t="s">
        <v>11</v>
      </c>
      <c r="B8" s="178"/>
      <c r="C8" s="178"/>
      <c r="D8" s="230"/>
      <c r="E8" s="234"/>
      <c r="F8" s="230"/>
      <c r="G8" s="234"/>
      <c r="H8" s="236"/>
      <c r="I8" s="237"/>
      <c r="J8" s="230"/>
      <c r="K8" s="234"/>
      <c r="L8" s="230"/>
      <c r="M8" s="234"/>
      <c r="N8" s="282"/>
      <c r="O8" s="283"/>
      <c r="P8" s="230"/>
      <c r="Q8" s="234"/>
      <c r="R8" s="230"/>
      <c r="S8" s="231"/>
      <c r="T8" s="299"/>
      <c r="U8" s="231"/>
    </row>
    <row r="9" spans="1:21" s="280" customFormat="1" ht="15" customHeight="1">
      <c r="A9" s="54" t="s">
        <v>12</v>
      </c>
      <c r="B9" s="59"/>
      <c r="C9" s="59"/>
      <c r="D9" s="232"/>
      <c r="E9" s="235"/>
      <c r="F9" s="232"/>
      <c r="G9" s="235"/>
      <c r="H9" s="232"/>
      <c r="I9" s="235"/>
      <c r="J9" s="232"/>
      <c r="K9" s="235"/>
      <c r="L9" s="232"/>
      <c r="M9" s="235"/>
      <c r="N9" s="284"/>
      <c r="O9" s="285"/>
      <c r="P9" s="232"/>
      <c r="Q9" s="235"/>
      <c r="R9" s="232"/>
      <c r="S9" s="233"/>
      <c r="T9" s="300"/>
      <c r="U9" s="233"/>
    </row>
    <row r="10" spans="1:21" ht="15" customHeight="1">
      <c r="A10" s="55" t="s">
        <v>97</v>
      </c>
      <c r="B10" s="212">
        <f>+D10+F10+H10+J10+L10+N10+P10+R10+T10</f>
        <v>863362179</v>
      </c>
      <c r="C10" s="212">
        <f>+E10+G10+I10+K10+M10+O10+Q10+S10+U10</f>
        <v>339804769</v>
      </c>
      <c r="D10" s="238">
        <v>133528000</v>
      </c>
      <c r="E10" s="239">
        <v>173131000</v>
      </c>
      <c r="F10" s="238">
        <v>4563573</v>
      </c>
      <c r="G10" s="239">
        <v>6281473</v>
      </c>
      <c r="H10" s="238">
        <v>1888534</v>
      </c>
      <c r="I10" s="239">
        <v>2253302</v>
      </c>
      <c r="J10" s="238">
        <v>687608</v>
      </c>
      <c r="K10" s="239">
        <v>931015</v>
      </c>
      <c r="L10" s="240">
        <v>6076798</v>
      </c>
      <c r="M10" s="241">
        <v>2826654</v>
      </c>
      <c r="N10" s="238">
        <v>698140181</v>
      </c>
      <c r="O10" s="239">
        <v>133367940</v>
      </c>
      <c r="P10" s="238">
        <v>17121250</v>
      </c>
      <c r="Q10" s="239">
        <v>13473551</v>
      </c>
      <c r="R10" s="238"/>
      <c r="S10" s="242">
        <v>4756384</v>
      </c>
      <c r="T10" s="301">
        <v>1356235</v>
      </c>
      <c r="U10" s="242">
        <v>2783450</v>
      </c>
    </row>
    <row r="11" spans="1:21" ht="15" customHeight="1">
      <c r="A11" s="55" t="s">
        <v>14</v>
      </c>
      <c r="B11" s="212">
        <f aca="true" t="shared" si="0" ref="B11:B37">+D11+F11+H11+J11+L11+N11+P11+R11+T11</f>
        <v>26498491</v>
      </c>
      <c r="C11" s="212">
        <f aca="true" t="shared" si="1" ref="C11:C37">+E11+G11+I11+K11+M11+O11+Q11+S11+U11</f>
        <v>32241655</v>
      </c>
      <c r="D11" s="238">
        <v>8741000</v>
      </c>
      <c r="E11" s="239">
        <v>7256000</v>
      </c>
      <c r="F11" s="238">
        <v>1417773</v>
      </c>
      <c r="G11" s="239">
        <v>626840</v>
      </c>
      <c r="H11" s="238">
        <v>182922</v>
      </c>
      <c r="I11" s="239">
        <v>190284</v>
      </c>
      <c r="J11" s="238">
        <v>92242</v>
      </c>
      <c r="K11" s="239">
        <v>10026</v>
      </c>
      <c r="L11" s="240">
        <v>337029</v>
      </c>
      <c r="M11" s="241">
        <v>333321</v>
      </c>
      <c r="N11" s="238">
        <v>6802745</v>
      </c>
      <c r="O11" s="239">
        <v>9490056</v>
      </c>
      <c r="P11" s="238">
        <v>8838412</v>
      </c>
      <c r="Q11" s="239">
        <v>13065312</v>
      </c>
      <c r="R11" s="238"/>
      <c r="S11" s="242">
        <v>1183449</v>
      </c>
      <c r="T11" s="301">
        <v>86368</v>
      </c>
      <c r="U11" s="242">
        <v>86367</v>
      </c>
    </row>
    <row r="12" spans="1:21" ht="15" customHeight="1">
      <c r="A12" s="55" t="s">
        <v>15</v>
      </c>
      <c r="B12" s="212">
        <f t="shared" si="0"/>
        <v>151786335</v>
      </c>
      <c r="C12" s="212">
        <f t="shared" si="1"/>
        <v>130705811</v>
      </c>
      <c r="D12" s="238">
        <f>1342000+70668000+34813000+6506000+12000+10421000</f>
        <v>123762000</v>
      </c>
      <c r="E12" s="239">
        <f>284838000-E10-E11</f>
        <v>104451000</v>
      </c>
      <c r="F12" s="238">
        <f>752428+2459541</f>
        <v>3211969</v>
      </c>
      <c r="G12" s="239">
        <f>1613943+4022266</f>
        <v>5636209</v>
      </c>
      <c r="H12" s="238">
        <v>40890</v>
      </c>
      <c r="I12" s="239">
        <v>34179</v>
      </c>
      <c r="J12" s="238">
        <v>0</v>
      </c>
      <c r="K12" s="239">
        <v>0</v>
      </c>
      <c r="L12" s="240">
        <v>2418608</v>
      </c>
      <c r="M12" s="241">
        <v>2381300</v>
      </c>
      <c r="N12" s="238">
        <v>6259343</v>
      </c>
      <c r="O12" s="239">
        <f>2965985+8589</f>
        <v>2974574</v>
      </c>
      <c r="P12" s="238">
        <v>16093525</v>
      </c>
      <c r="Q12" s="239">
        <v>14789740</v>
      </c>
      <c r="R12" s="238">
        <v>0</v>
      </c>
      <c r="S12" s="242">
        <v>438809</v>
      </c>
      <c r="T12" s="301">
        <v>0</v>
      </c>
      <c r="U12" s="242"/>
    </row>
    <row r="13" spans="1:21" s="286" customFormat="1" ht="15" customHeight="1">
      <c r="A13" s="54" t="s">
        <v>16</v>
      </c>
      <c r="B13" s="212">
        <f t="shared" si="0"/>
        <v>1041647005</v>
      </c>
      <c r="C13" s="212">
        <f t="shared" si="1"/>
        <v>502752235</v>
      </c>
      <c r="D13" s="243">
        <f aca="true" t="shared" si="2" ref="D13:U13">SUM(D10:D12)</f>
        <v>266031000</v>
      </c>
      <c r="E13" s="244">
        <f t="shared" si="2"/>
        <v>284838000</v>
      </c>
      <c r="F13" s="243">
        <f t="shared" si="2"/>
        <v>9193315</v>
      </c>
      <c r="G13" s="244">
        <f t="shared" si="2"/>
        <v>12544522</v>
      </c>
      <c r="H13" s="243">
        <f t="shared" si="2"/>
        <v>2112346</v>
      </c>
      <c r="I13" s="244">
        <f t="shared" si="2"/>
        <v>2477765</v>
      </c>
      <c r="J13" s="243">
        <f t="shared" si="2"/>
        <v>779850</v>
      </c>
      <c r="K13" s="244">
        <f t="shared" si="2"/>
        <v>941041</v>
      </c>
      <c r="L13" s="245">
        <f t="shared" si="2"/>
        <v>8832435</v>
      </c>
      <c r="M13" s="246">
        <f t="shared" si="2"/>
        <v>5541275</v>
      </c>
      <c r="N13" s="243">
        <f t="shared" si="2"/>
        <v>711202269</v>
      </c>
      <c r="O13" s="244">
        <f t="shared" si="2"/>
        <v>145832570</v>
      </c>
      <c r="P13" s="243">
        <f t="shared" si="2"/>
        <v>42053187</v>
      </c>
      <c r="Q13" s="244">
        <f t="shared" si="2"/>
        <v>41328603</v>
      </c>
      <c r="R13" s="243">
        <f t="shared" si="2"/>
        <v>0</v>
      </c>
      <c r="S13" s="247">
        <f t="shared" si="2"/>
        <v>6378642</v>
      </c>
      <c r="T13" s="302">
        <f t="shared" si="2"/>
        <v>1442603</v>
      </c>
      <c r="U13" s="247">
        <f t="shared" si="2"/>
        <v>2869817</v>
      </c>
    </row>
    <row r="14" spans="1:21" ht="15" customHeight="1">
      <c r="A14" s="54" t="s">
        <v>17</v>
      </c>
      <c r="B14" s="212"/>
      <c r="C14" s="212"/>
      <c r="D14" s="243"/>
      <c r="E14" s="244"/>
      <c r="F14" s="243"/>
      <c r="G14" s="244"/>
      <c r="H14" s="243"/>
      <c r="I14" s="244"/>
      <c r="J14" s="243"/>
      <c r="K14" s="244"/>
      <c r="L14" s="248"/>
      <c r="M14" s="249"/>
      <c r="N14" s="243"/>
      <c r="O14" s="244"/>
      <c r="P14" s="243"/>
      <c r="Q14" s="244"/>
      <c r="R14" s="243"/>
      <c r="S14" s="247"/>
      <c r="T14" s="302"/>
      <c r="U14" s="247"/>
    </row>
    <row r="15" spans="1:21" ht="15" customHeight="1">
      <c r="A15" s="55" t="s">
        <v>18</v>
      </c>
      <c r="B15" s="212">
        <f t="shared" si="0"/>
        <v>845885152</v>
      </c>
      <c r="C15" s="212">
        <f t="shared" si="1"/>
        <v>358836443</v>
      </c>
      <c r="D15" s="238">
        <v>105866000</v>
      </c>
      <c r="E15" s="239">
        <v>176321000</v>
      </c>
      <c r="F15" s="238">
        <v>2177719</v>
      </c>
      <c r="G15" s="239">
        <v>6343031</v>
      </c>
      <c r="H15" s="238">
        <v>412784</v>
      </c>
      <c r="I15" s="239">
        <v>785102</v>
      </c>
      <c r="J15" s="238">
        <v>5627</v>
      </c>
      <c r="K15" s="239">
        <v>139881</v>
      </c>
      <c r="L15" s="240">
        <v>5724268</v>
      </c>
      <c r="M15" s="241">
        <v>4551946</v>
      </c>
      <c r="N15" s="238">
        <v>722646739</v>
      </c>
      <c r="O15" s="239">
        <v>156357195</v>
      </c>
      <c r="P15" s="238">
        <v>8690794</v>
      </c>
      <c r="Q15" s="239">
        <v>10044039</v>
      </c>
      <c r="R15" s="238"/>
      <c r="S15" s="242">
        <v>2325560</v>
      </c>
      <c r="T15" s="301">
        <v>361221</v>
      </c>
      <c r="U15" s="242">
        <v>1968689</v>
      </c>
    </row>
    <row r="16" spans="1:21" ht="15" customHeight="1">
      <c r="A16" s="56" t="s">
        <v>19</v>
      </c>
      <c r="B16" s="212">
        <f t="shared" si="0"/>
        <v>79169976</v>
      </c>
      <c r="C16" s="212">
        <f t="shared" si="1"/>
        <v>6372749</v>
      </c>
      <c r="D16" s="238">
        <v>75379000</v>
      </c>
      <c r="E16" s="239">
        <v>479000</v>
      </c>
      <c r="F16" s="238">
        <v>1195889</v>
      </c>
      <c r="G16" s="239">
        <v>1198549</v>
      </c>
      <c r="H16" s="238">
        <v>0</v>
      </c>
      <c r="I16" s="239">
        <v>0</v>
      </c>
      <c r="J16" s="238">
        <v>0</v>
      </c>
      <c r="K16" s="239">
        <v>0</v>
      </c>
      <c r="L16" s="240">
        <v>2595087</v>
      </c>
      <c r="M16" s="241">
        <v>4411321</v>
      </c>
      <c r="N16" s="238">
        <v>0</v>
      </c>
      <c r="O16" s="239">
        <v>0</v>
      </c>
      <c r="P16" s="238"/>
      <c r="Q16" s="239"/>
      <c r="R16" s="238"/>
      <c r="S16" s="242">
        <v>283879</v>
      </c>
      <c r="T16" s="301">
        <v>0</v>
      </c>
      <c r="U16" s="242">
        <v>0</v>
      </c>
    </row>
    <row r="17" spans="1:21" ht="15" customHeight="1">
      <c r="A17" s="55" t="s">
        <v>20</v>
      </c>
      <c r="B17" s="212">
        <f t="shared" si="0"/>
        <v>1329</v>
      </c>
      <c r="C17" s="212">
        <f t="shared" si="1"/>
        <v>93961</v>
      </c>
      <c r="D17" s="238">
        <v>0</v>
      </c>
      <c r="E17" s="239">
        <v>0</v>
      </c>
      <c r="F17" s="238"/>
      <c r="G17" s="239"/>
      <c r="H17" s="238">
        <v>0</v>
      </c>
      <c r="I17" s="239">
        <v>0</v>
      </c>
      <c r="J17" s="238">
        <v>0</v>
      </c>
      <c r="K17" s="239">
        <v>0</v>
      </c>
      <c r="L17" s="240">
        <v>0</v>
      </c>
      <c r="M17" s="241">
        <v>0</v>
      </c>
      <c r="N17" s="238">
        <v>0</v>
      </c>
      <c r="O17" s="239">
        <v>0</v>
      </c>
      <c r="P17" s="238">
        <v>1329</v>
      </c>
      <c r="Q17" s="239">
        <v>93961</v>
      </c>
      <c r="R17" s="238">
        <v>0</v>
      </c>
      <c r="S17" s="242">
        <v>0</v>
      </c>
      <c r="T17" s="301">
        <v>0</v>
      </c>
      <c r="U17" s="242">
        <v>0</v>
      </c>
    </row>
    <row r="18" spans="1:21" s="286" customFormat="1" ht="15" customHeight="1">
      <c r="A18" s="54" t="s">
        <v>21</v>
      </c>
      <c r="B18" s="212">
        <f t="shared" si="0"/>
        <v>925056457</v>
      </c>
      <c r="C18" s="212">
        <f t="shared" si="1"/>
        <v>365303153</v>
      </c>
      <c r="D18" s="243">
        <f aca="true" t="shared" si="3" ref="D18:U18">SUM(D15:D17)</f>
        <v>181245000</v>
      </c>
      <c r="E18" s="244">
        <f t="shared" si="3"/>
        <v>176800000</v>
      </c>
      <c r="F18" s="243">
        <f t="shared" si="3"/>
        <v>3373608</v>
      </c>
      <c r="G18" s="244">
        <f t="shared" si="3"/>
        <v>7541580</v>
      </c>
      <c r="H18" s="243">
        <f t="shared" si="3"/>
        <v>412784</v>
      </c>
      <c r="I18" s="244">
        <f t="shared" si="3"/>
        <v>785102</v>
      </c>
      <c r="J18" s="243">
        <f t="shared" si="3"/>
        <v>5627</v>
      </c>
      <c r="K18" s="244">
        <f t="shared" si="3"/>
        <v>139881</v>
      </c>
      <c r="L18" s="245">
        <f t="shared" si="3"/>
        <v>8319355</v>
      </c>
      <c r="M18" s="246">
        <f t="shared" si="3"/>
        <v>8963267</v>
      </c>
      <c r="N18" s="243">
        <f t="shared" si="3"/>
        <v>722646739</v>
      </c>
      <c r="O18" s="244">
        <f t="shared" si="3"/>
        <v>156357195</v>
      </c>
      <c r="P18" s="243">
        <f t="shared" si="3"/>
        <v>8692123</v>
      </c>
      <c r="Q18" s="244">
        <f t="shared" si="3"/>
        <v>10138000</v>
      </c>
      <c r="R18" s="243">
        <f t="shared" si="3"/>
        <v>0</v>
      </c>
      <c r="S18" s="247">
        <f t="shared" si="3"/>
        <v>2609439</v>
      </c>
      <c r="T18" s="302">
        <f t="shared" si="3"/>
        <v>361221</v>
      </c>
      <c r="U18" s="247">
        <f t="shared" si="3"/>
        <v>1968689</v>
      </c>
    </row>
    <row r="19" spans="1:21" ht="15" customHeight="1">
      <c r="A19" s="54" t="s">
        <v>22</v>
      </c>
      <c r="B19" s="212"/>
      <c r="C19" s="212"/>
      <c r="D19" s="238"/>
      <c r="E19" s="239"/>
      <c r="F19" s="238"/>
      <c r="G19" s="239"/>
      <c r="H19" s="238"/>
      <c r="I19" s="239"/>
      <c r="J19" s="238"/>
      <c r="K19" s="239"/>
      <c r="L19" s="248"/>
      <c r="M19" s="249"/>
      <c r="N19" s="238"/>
      <c r="O19" s="239"/>
      <c r="P19" s="238"/>
      <c r="Q19" s="239"/>
      <c r="R19" s="238"/>
      <c r="S19" s="242"/>
      <c r="T19" s="301"/>
      <c r="U19" s="242"/>
    </row>
    <row r="20" spans="1:21" ht="15" customHeight="1">
      <c r="A20" s="55" t="s">
        <v>23</v>
      </c>
      <c r="B20" s="212">
        <f t="shared" si="0"/>
        <v>21130455</v>
      </c>
      <c r="C20" s="212">
        <f t="shared" si="1"/>
        <v>23377142</v>
      </c>
      <c r="D20" s="238">
        <v>7000000</v>
      </c>
      <c r="E20" s="239">
        <v>7000000</v>
      </c>
      <c r="F20" s="238">
        <v>500000</v>
      </c>
      <c r="G20" s="239">
        <v>500000</v>
      </c>
      <c r="H20" s="238">
        <v>30000</v>
      </c>
      <c r="I20" s="239">
        <v>30000</v>
      </c>
      <c r="J20" s="238">
        <v>209000</v>
      </c>
      <c r="K20" s="239">
        <v>209000</v>
      </c>
      <c r="L20" s="240">
        <v>3049500</v>
      </c>
      <c r="M20" s="241">
        <v>3250000</v>
      </c>
      <c r="N20" s="238">
        <v>1781955</v>
      </c>
      <c r="O20" s="239">
        <v>1828142</v>
      </c>
      <c r="P20" s="238">
        <v>8000000</v>
      </c>
      <c r="Q20" s="239">
        <v>8000000</v>
      </c>
      <c r="R20" s="238"/>
      <c r="S20" s="242">
        <v>2000000</v>
      </c>
      <c r="T20" s="301">
        <v>560000</v>
      </c>
      <c r="U20" s="242">
        <v>560000</v>
      </c>
    </row>
    <row r="21" spans="1:21" s="288" customFormat="1" ht="15" customHeight="1">
      <c r="A21" s="287" t="s">
        <v>24</v>
      </c>
      <c r="B21" s="270">
        <f t="shared" si="0"/>
        <v>-11200774</v>
      </c>
      <c r="C21" s="271">
        <f t="shared" si="1"/>
        <v>17858144</v>
      </c>
      <c r="D21" s="270">
        <v>-750000</v>
      </c>
      <c r="E21" s="244">
        <v>30227000</v>
      </c>
      <c r="F21" s="243">
        <v>49796</v>
      </c>
      <c r="G21" s="270">
        <v>-187095</v>
      </c>
      <c r="H21" s="243">
        <v>80355</v>
      </c>
      <c r="I21" s="244">
        <v>1574</v>
      </c>
      <c r="J21" s="243">
        <v>11846</v>
      </c>
      <c r="K21" s="244">
        <v>34593</v>
      </c>
      <c r="L21" s="268">
        <v>-1601550</v>
      </c>
      <c r="M21" s="269">
        <v>-1159367</v>
      </c>
      <c r="N21" s="269">
        <v>-6769488</v>
      </c>
      <c r="O21" s="269">
        <v>-9215944</v>
      </c>
      <c r="P21" s="269">
        <v>-2401518</v>
      </c>
      <c r="Q21" s="269">
        <v>-2587160</v>
      </c>
      <c r="R21" s="305"/>
      <c r="S21" s="247">
        <v>883930</v>
      </c>
      <c r="T21" s="302">
        <v>179785</v>
      </c>
      <c r="U21" s="250">
        <v>-139387</v>
      </c>
    </row>
    <row r="22" spans="1:21" ht="15" customHeight="1">
      <c r="A22" s="55" t="s">
        <v>25</v>
      </c>
      <c r="B22" s="270">
        <f t="shared" si="0"/>
        <v>-38853975</v>
      </c>
      <c r="C22" s="270">
        <f t="shared" si="1"/>
        <v>-45760973</v>
      </c>
      <c r="D22" s="270">
        <v>-33003000</v>
      </c>
      <c r="E22" s="270">
        <v>-35746000</v>
      </c>
      <c r="F22" s="270">
        <v>-1190801</v>
      </c>
      <c r="G22" s="270">
        <v>-3333398</v>
      </c>
      <c r="H22" s="238">
        <v>540736</v>
      </c>
      <c r="I22" s="239">
        <v>612599</v>
      </c>
      <c r="J22" s="238">
        <v>108132</v>
      </c>
      <c r="K22" s="239">
        <v>109693</v>
      </c>
      <c r="L22" s="240">
        <v>-1167323</v>
      </c>
      <c r="M22" s="241">
        <v>-5701954</v>
      </c>
      <c r="N22" s="238">
        <v>-6456935</v>
      </c>
      <c r="O22" s="239">
        <v>-3137230</v>
      </c>
      <c r="P22" s="238">
        <v>2235566</v>
      </c>
      <c r="Q22" s="239">
        <v>551685</v>
      </c>
      <c r="R22" s="238"/>
      <c r="S22" s="242">
        <v>665063</v>
      </c>
      <c r="T22" s="301">
        <v>79650</v>
      </c>
      <c r="U22" s="242">
        <v>218569</v>
      </c>
    </row>
    <row r="23" spans="1:21" ht="15" customHeight="1">
      <c r="A23" s="55" t="s">
        <v>26</v>
      </c>
      <c r="B23" s="212">
        <f t="shared" si="0"/>
        <v>145514860</v>
      </c>
      <c r="C23" s="212">
        <f t="shared" si="1"/>
        <v>141974767</v>
      </c>
      <c r="D23" s="238">
        <f>25085000+65036000+10997000+10421000</f>
        <v>111539000</v>
      </c>
      <c r="E23" s="239">
        <f>25086000+65036000+9769000+6666000</f>
        <v>106557000</v>
      </c>
      <c r="F23" s="238">
        <f>448813+3552357+2459542</f>
        <v>6460712</v>
      </c>
      <c r="G23" s="239">
        <f>448813+4022266+3552357</f>
        <v>8023436</v>
      </c>
      <c r="H23" s="238">
        <f>100468+948021</f>
        <v>1048489</v>
      </c>
      <c r="I23" s="239">
        <f>100468+948021</f>
        <v>1048489</v>
      </c>
      <c r="J23" s="238">
        <f>11847+433398</f>
        <v>445245</v>
      </c>
      <c r="K23" s="239">
        <f>11847+436025</f>
        <v>447872</v>
      </c>
      <c r="L23" s="240">
        <f>120519+111932</f>
        <v>232451</v>
      </c>
      <c r="M23" s="241">
        <f>120519+68810</f>
        <v>189329</v>
      </c>
      <c r="N23" s="238">
        <v>0</v>
      </c>
      <c r="O23" s="239">
        <v>409</v>
      </c>
      <c r="P23" s="238">
        <f>7888152+3749410+13889454</f>
        <v>25527016</v>
      </c>
      <c r="Q23" s="239">
        <f>7888152+3448471+13889453</f>
        <v>25226076</v>
      </c>
      <c r="R23" s="238"/>
      <c r="S23" s="242">
        <v>220209</v>
      </c>
      <c r="T23" s="301">
        <f>34570+227377</f>
        <v>261947</v>
      </c>
      <c r="U23" s="242">
        <f>227377+34570</f>
        <v>261947</v>
      </c>
    </row>
    <row r="24" spans="1:21" s="286" customFormat="1" ht="15" customHeight="1">
      <c r="A24" s="54" t="s">
        <v>27</v>
      </c>
      <c r="B24" s="212">
        <f t="shared" si="0"/>
        <v>116590566</v>
      </c>
      <c r="C24" s="212">
        <f t="shared" si="1"/>
        <v>137449080</v>
      </c>
      <c r="D24" s="243">
        <f aca="true" t="shared" si="4" ref="D24:U24">SUM(D20:D23)</f>
        <v>84786000</v>
      </c>
      <c r="E24" s="244">
        <f t="shared" si="4"/>
        <v>108038000</v>
      </c>
      <c r="F24" s="243">
        <f t="shared" si="4"/>
        <v>5819707</v>
      </c>
      <c r="G24" s="244">
        <f t="shared" si="4"/>
        <v>5002943</v>
      </c>
      <c r="H24" s="243">
        <f t="shared" si="4"/>
        <v>1699580</v>
      </c>
      <c r="I24" s="244">
        <f t="shared" si="4"/>
        <v>1692662</v>
      </c>
      <c r="J24" s="243">
        <f t="shared" si="4"/>
        <v>774223</v>
      </c>
      <c r="K24" s="244">
        <f t="shared" si="4"/>
        <v>801158</v>
      </c>
      <c r="L24" s="245">
        <f t="shared" si="4"/>
        <v>513078</v>
      </c>
      <c r="M24" s="269">
        <f t="shared" si="4"/>
        <v>-3421992</v>
      </c>
      <c r="N24" s="269">
        <f t="shared" si="4"/>
        <v>-11444468</v>
      </c>
      <c r="O24" s="251">
        <f t="shared" si="4"/>
        <v>-10524623</v>
      </c>
      <c r="P24" s="243">
        <f t="shared" si="4"/>
        <v>33361064</v>
      </c>
      <c r="Q24" s="244">
        <f t="shared" si="4"/>
        <v>31190601</v>
      </c>
      <c r="R24" s="243">
        <f t="shared" si="4"/>
        <v>0</v>
      </c>
      <c r="S24" s="247">
        <f t="shared" si="4"/>
        <v>3769202</v>
      </c>
      <c r="T24" s="302">
        <f t="shared" si="4"/>
        <v>1081382</v>
      </c>
      <c r="U24" s="247">
        <f t="shared" si="4"/>
        <v>901129</v>
      </c>
    </row>
    <row r="25" spans="1:21" s="286" customFormat="1" ht="15" customHeight="1">
      <c r="A25" s="54" t="s">
        <v>28</v>
      </c>
      <c r="B25" s="212">
        <f t="shared" si="0"/>
        <v>1041647023</v>
      </c>
      <c r="C25" s="212">
        <f t="shared" si="1"/>
        <v>502752233</v>
      </c>
      <c r="D25" s="243">
        <f aca="true" t="shared" si="5" ref="D25:U25">+D24+D18</f>
        <v>266031000</v>
      </c>
      <c r="E25" s="244">
        <f t="shared" si="5"/>
        <v>284838000</v>
      </c>
      <c r="F25" s="243">
        <f t="shared" si="5"/>
        <v>9193315</v>
      </c>
      <c r="G25" s="244">
        <f t="shared" si="5"/>
        <v>12544523</v>
      </c>
      <c r="H25" s="243">
        <f t="shared" si="5"/>
        <v>2112364</v>
      </c>
      <c r="I25" s="244">
        <f t="shared" si="5"/>
        <v>2477764</v>
      </c>
      <c r="J25" s="243">
        <f t="shared" si="5"/>
        <v>779850</v>
      </c>
      <c r="K25" s="244">
        <f t="shared" si="5"/>
        <v>941039</v>
      </c>
      <c r="L25" s="245">
        <f t="shared" si="5"/>
        <v>8832433</v>
      </c>
      <c r="M25" s="246">
        <f t="shared" si="5"/>
        <v>5541275</v>
      </c>
      <c r="N25" s="243">
        <f t="shared" si="5"/>
        <v>711202271</v>
      </c>
      <c r="O25" s="244">
        <f t="shared" si="5"/>
        <v>145832572</v>
      </c>
      <c r="P25" s="243">
        <f t="shared" si="5"/>
        <v>42053187</v>
      </c>
      <c r="Q25" s="244">
        <f t="shared" si="5"/>
        <v>41328601</v>
      </c>
      <c r="R25" s="243">
        <f t="shared" si="5"/>
        <v>0</v>
      </c>
      <c r="S25" s="247">
        <f t="shared" si="5"/>
        <v>6378641</v>
      </c>
      <c r="T25" s="302">
        <f t="shared" si="5"/>
        <v>1442603</v>
      </c>
      <c r="U25" s="247">
        <f t="shared" si="5"/>
        <v>2869818</v>
      </c>
    </row>
    <row r="26" spans="1:21" ht="15" customHeight="1">
      <c r="A26" s="54" t="s">
        <v>29</v>
      </c>
      <c r="B26" s="212"/>
      <c r="C26" s="212"/>
      <c r="D26" s="238"/>
      <c r="E26" s="239"/>
      <c r="F26" s="238"/>
      <c r="G26" s="239"/>
      <c r="H26" s="238"/>
      <c r="I26" s="239"/>
      <c r="J26" s="238"/>
      <c r="K26" s="239"/>
      <c r="L26" s="252"/>
      <c r="M26" s="253"/>
      <c r="N26" s="238"/>
      <c r="O26" s="239"/>
      <c r="P26" s="238"/>
      <c r="Q26" s="239"/>
      <c r="R26" s="238"/>
      <c r="S26" s="242"/>
      <c r="T26" s="301"/>
      <c r="U26" s="242"/>
    </row>
    <row r="27" spans="1:21" ht="15" customHeight="1">
      <c r="A27" s="54" t="s">
        <v>30</v>
      </c>
      <c r="B27" s="212"/>
      <c r="C27" s="212"/>
      <c r="D27" s="238"/>
      <c r="E27" s="239"/>
      <c r="F27" s="238"/>
      <c r="G27" s="239"/>
      <c r="H27" s="238"/>
      <c r="I27" s="239"/>
      <c r="J27" s="238"/>
      <c r="K27" s="239"/>
      <c r="L27" s="248"/>
      <c r="M27" s="249"/>
      <c r="N27" s="238"/>
      <c r="O27" s="239"/>
      <c r="P27" s="238"/>
      <c r="Q27" s="239"/>
      <c r="R27" s="238"/>
      <c r="S27" s="242"/>
      <c r="T27" s="301"/>
      <c r="U27" s="242"/>
    </row>
    <row r="28" spans="1:21" ht="15" customHeight="1">
      <c r="A28" s="56" t="s">
        <v>31</v>
      </c>
      <c r="B28" s="212">
        <f t="shared" si="0"/>
        <v>471580895</v>
      </c>
      <c r="C28" s="212">
        <f t="shared" si="1"/>
        <v>527240639</v>
      </c>
      <c r="D28" s="238">
        <f>234558000</f>
        <v>234558000</v>
      </c>
      <c r="E28" s="239">
        <v>281059000</v>
      </c>
      <c r="F28" s="238">
        <v>22377508</v>
      </c>
      <c r="G28" s="239">
        <v>20081123</v>
      </c>
      <c r="H28" s="238">
        <v>1831288</v>
      </c>
      <c r="I28" s="239">
        <v>1905828</v>
      </c>
      <c r="J28" s="238">
        <v>35173</v>
      </c>
      <c r="K28" s="239">
        <v>364255</v>
      </c>
      <c r="L28" s="240">
        <v>13044362</v>
      </c>
      <c r="M28" s="241">
        <v>8764780</v>
      </c>
      <c r="N28" s="238">
        <v>162336364</v>
      </c>
      <c r="O28" s="239">
        <v>184903932</v>
      </c>
      <c r="P28" s="238">
        <v>33141659</v>
      </c>
      <c r="Q28" s="239">
        <v>24540742</v>
      </c>
      <c r="R28" s="238"/>
      <c r="S28" s="242">
        <f>4677197-S29</f>
        <v>3268658</v>
      </c>
      <c r="T28" s="301">
        <v>4256541</v>
      </c>
      <c r="U28" s="242">
        <v>2352321</v>
      </c>
    </row>
    <row r="29" spans="1:21" ht="15" customHeight="1">
      <c r="A29" s="56" t="s">
        <v>32</v>
      </c>
      <c r="B29" s="212">
        <f t="shared" si="0"/>
        <v>7460209</v>
      </c>
      <c r="C29" s="212">
        <f t="shared" si="1"/>
        <v>63327163</v>
      </c>
      <c r="D29" s="238">
        <f>3658000</f>
        <v>3658000</v>
      </c>
      <c r="E29" s="239">
        <v>56873000</v>
      </c>
      <c r="F29" s="238">
        <v>372390</v>
      </c>
      <c r="G29" s="239">
        <v>83845</v>
      </c>
      <c r="H29" s="238">
        <v>8731</v>
      </c>
      <c r="I29" s="239">
        <v>18612</v>
      </c>
      <c r="J29" s="238">
        <v>0</v>
      </c>
      <c r="K29" s="239">
        <v>1835</v>
      </c>
      <c r="L29" s="240">
        <v>26011</v>
      </c>
      <c r="M29" s="241">
        <v>441003</v>
      </c>
      <c r="N29" s="238">
        <v>2017436</v>
      </c>
      <c r="O29" s="239">
        <v>2760943</v>
      </c>
      <c r="P29" s="238">
        <v>1375539</v>
      </c>
      <c r="Q29" s="239">
        <v>1739385</v>
      </c>
      <c r="R29" s="238"/>
      <c r="S29" s="242">
        <f>1384874+23665</f>
        <v>1408539</v>
      </c>
      <c r="T29" s="301">
        <v>2102</v>
      </c>
      <c r="U29" s="242">
        <v>1</v>
      </c>
    </row>
    <row r="30" spans="1:22" s="286" customFormat="1" ht="15" customHeight="1">
      <c r="A30" s="54" t="s">
        <v>33</v>
      </c>
      <c r="B30" s="212">
        <f t="shared" si="0"/>
        <v>479041104</v>
      </c>
      <c r="C30" s="212">
        <f t="shared" si="1"/>
        <v>590567802</v>
      </c>
      <c r="D30" s="243">
        <f aca="true" t="shared" si="6" ref="D30:U30">SUM(D28:D29)</f>
        <v>238216000</v>
      </c>
      <c r="E30" s="244">
        <f t="shared" si="6"/>
        <v>337932000</v>
      </c>
      <c r="F30" s="243">
        <f t="shared" si="6"/>
        <v>22749898</v>
      </c>
      <c r="G30" s="244">
        <f t="shared" si="6"/>
        <v>20164968</v>
      </c>
      <c r="H30" s="243">
        <f t="shared" si="6"/>
        <v>1840019</v>
      </c>
      <c r="I30" s="244">
        <f t="shared" si="6"/>
        <v>1924440</v>
      </c>
      <c r="J30" s="243">
        <f t="shared" si="6"/>
        <v>35173</v>
      </c>
      <c r="K30" s="244">
        <f t="shared" si="6"/>
        <v>366090</v>
      </c>
      <c r="L30" s="245">
        <f t="shared" si="6"/>
        <v>13070373</v>
      </c>
      <c r="M30" s="246">
        <f t="shared" si="6"/>
        <v>9205783</v>
      </c>
      <c r="N30" s="243">
        <f t="shared" si="6"/>
        <v>164353800</v>
      </c>
      <c r="O30" s="244">
        <f t="shared" si="6"/>
        <v>187664875</v>
      </c>
      <c r="P30" s="243">
        <f t="shared" si="6"/>
        <v>34517198</v>
      </c>
      <c r="Q30" s="244">
        <f t="shared" si="6"/>
        <v>26280127</v>
      </c>
      <c r="R30" s="243">
        <f t="shared" si="6"/>
        <v>0</v>
      </c>
      <c r="S30" s="247">
        <f t="shared" si="6"/>
        <v>4677197</v>
      </c>
      <c r="T30" s="302">
        <f t="shared" si="6"/>
        <v>4258643</v>
      </c>
      <c r="U30" s="247">
        <f t="shared" si="6"/>
        <v>2352322</v>
      </c>
      <c r="V30" s="289"/>
    </row>
    <row r="31" spans="1:21" ht="15" customHeight="1">
      <c r="A31" s="54" t="s">
        <v>34</v>
      </c>
      <c r="B31" s="212"/>
      <c r="C31" s="212"/>
      <c r="D31" s="238"/>
      <c r="E31" s="239"/>
      <c r="F31" s="238"/>
      <c r="G31" s="239"/>
      <c r="H31" s="238"/>
      <c r="I31" s="239"/>
      <c r="J31" s="238"/>
      <c r="K31" s="239"/>
      <c r="L31" s="248"/>
      <c r="M31" s="249"/>
      <c r="N31" s="238"/>
      <c r="O31" s="239"/>
      <c r="P31" s="238"/>
      <c r="Q31" s="239"/>
      <c r="R31" s="238"/>
      <c r="S31" s="242"/>
      <c r="T31" s="301"/>
      <c r="U31" s="242"/>
    </row>
    <row r="32" spans="1:21" ht="15" customHeight="1">
      <c r="A32" s="55" t="s">
        <v>63</v>
      </c>
      <c r="B32" s="212">
        <f t="shared" si="0"/>
        <v>480757963</v>
      </c>
      <c r="C32" s="212">
        <f t="shared" si="1"/>
        <v>559608757</v>
      </c>
      <c r="D32" s="238">
        <f>164099000+72544000</f>
        <v>236643000</v>
      </c>
      <c r="E32" s="239">
        <f>211415000+88867000</f>
        <v>300282000</v>
      </c>
      <c r="F32" s="238">
        <f>21626201</f>
        <v>21626201</v>
      </c>
      <c r="G32" s="239">
        <v>20236338</v>
      </c>
      <c r="H32" s="238">
        <f>1454018+295449</f>
        <v>1749467</v>
      </c>
      <c r="I32" s="239">
        <f>1617767+290823</f>
        <v>1908590</v>
      </c>
      <c r="J32" s="238">
        <v>23327</v>
      </c>
      <c r="K32" s="239">
        <v>325111</v>
      </c>
      <c r="L32" s="240">
        <f>13407931+823077+182059</f>
        <v>14413067</v>
      </c>
      <c r="M32" s="241">
        <f>8754852+731217+143180</f>
        <v>9629249</v>
      </c>
      <c r="N32" s="238">
        <f>11662256+159461034-N33-N34</f>
        <v>168409695</v>
      </c>
      <c r="O32" s="239">
        <f>177188981+17852119</f>
        <v>195041100</v>
      </c>
      <c r="P32" s="238">
        <f>3378726+24040960+4575075+1924270</f>
        <v>33919031</v>
      </c>
      <c r="Q32" s="239">
        <f>2422806+17005869+4709241+1789617</f>
        <v>25927533</v>
      </c>
      <c r="R32" s="238"/>
      <c r="S32" s="242">
        <f>3006256+773237</f>
        <v>3779493</v>
      </c>
      <c r="T32" s="301">
        <f>3192406+781769</f>
        <v>3974175</v>
      </c>
      <c r="U32" s="242">
        <f>1547908+931435</f>
        <v>2479343</v>
      </c>
    </row>
    <row r="33" spans="1:21" ht="15" customHeight="1" thickBot="1">
      <c r="A33" s="55" t="s">
        <v>35</v>
      </c>
      <c r="B33" s="212">
        <f t="shared" si="0"/>
        <v>9043644</v>
      </c>
      <c r="C33" s="212">
        <f t="shared" si="1"/>
        <v>10118931</v>
      </c>
      <c r="D33" s="238">
        <f>1540000+563000</f>
        <v>2103000</v>
      </c>
      <c r="E33" s="239">
        <f>4998000+417000</f>
        <v>5415000</v>
      </c>
      <c r="F33" s="238">
        <v>1073901</v>
      </c>
      <c r="G33" s="239">
        <v>115726</v>
      </c>
      <c r="H33" s="238">
        <v>10196</v>
      </c>
      <c r="I33" s="239">
        <v>14275</v>
      </c>
      <c r="J33" s="238"/>
      <c r="K33" s="239">
        <v>6386</v>
      </c>
      <c r="L33" s="240">
        <v>252608</v>
      </c>
      <c r="M33" s="241">
        <v>729653</v>
      </c>
      <c r="N33" s="272">
        <v>2588122</v>
      </c>
      <c r="O33" s="239">
        <v>877752</v>
      </c>
      <c r="P33" s="238">
        <v>2999684</v>
      </c>
      <c r="Q33" s="239">
        <v>2939752</v>
      </c>
      <c r="R33" s="238"/>
      <c r="S33" s="242">
        <v>8022</v>
      </c>
      <c r="T33" s="301">
        <v>16133</v>
      </c>
      <c r="U33" s="242">
        <v>12365</v>
      </c>
    </row>
    <row r="34" spans="1:21" ht="15" customHeight="1">
      <c r="A34" s="55" t="s">
        <v>36</v>
      </c>
      <c r="B34" s="212">
        <f t="shared" si="0"/>
        <v>440272</v>
      </c>
      <c r="C34" s="212">
        <f t="shared" si="1"/>
        <v>2981964</v>
      </c>
      <c r="D34" s="238">
        <v>220000</v>
      </c>
      <c r="E34" s="239">
        <v>2008000</v>
      </c>
      <c r="F34" s="238"/>
      <c r="G34" s="239"/>
      <c r="H34" s="238">
        <v>0</v>
      </c>
      <c r="I34" s="239">
        <v>0</v>
      </c>
      <c r="J34" s="238"/>
      <c r="K34" s="239"/>
      <c r="L34" s="240">
        <v>6248</v>
      </c>
      <c r="M34" s="241">
        <v>6248</v>
      </c>
      <c r="N34" s="238">
        <v>125473</v>
      </c>
      <c r="O34" s="239">
        <v>961966</v>
      </c>
      <c r="P34" s="238"/>
      <c r="Q34" s="239"/>
      <c r="R34" s="238"/>
      <c r="S34" s="242">
        <v>5750</v>
      </c>
      <c r="T34" s="301">
        <v>88551</v>
      </c>
      <c r="U34" s="242"/>
    </row>
    <row r="35" spans="1:21" s="286" customFormat="1" ht="15" customHeight="1">
      <c r="A35" s="54" t="s">
        <v>37</v>
      </c>
      <c r="B35" s="212">
        <f t="shared" si="0"/>
        <v>490241879</v>
      </c>
      <c r="C35" s="212">
        <f t="shared" si="1"/>
        <v>572709652</v>
      </c>
      <c r="D35" s="243">
        <f aca="true" t="shared" si="7" ref="D35:U35">SUM(D32:D34)</f>
        <v>238966000</v>
      </c>
      <c r="E35" s="244">
        <f t="shared" si="7"/>
        <v>307705000</v>
      </c>
      <c r="F35" s="243">
        <f t="shared" si="7"/>
        <v>22700102</v>
      </c>
      <c r="G35" s="244">
        <f t="shared" si="7"/>
        <v>20352064</v>
      </c>
      <c r="H35" s="243">
        <f t="shared" si="7"/>
        <v>1759663</v>
      </c>
      <c r="I35" s="244">
        <f t="shared" si="7"/>
        <v>1922865</v>
      </c>
      <c r="J35" s="243">
        <f t="shared" si="7"/>
        <v>23327</v>
      </c>
      <c r="K35" s="244">
        <f t="shared" si="7"/>
        <v>331497</v>
      </c>
      <c r="L35" s="245">
        <f t="shared" si="7"/>
        <v>14671923</v>
      </c>
      <c r="M35" s="246">
        <f t="shared" si="7"/>
        <v>10365150</v>
      </c>
      <c r="N35" s="243">
        <f t="shared" si="7"/>
        <v>171123290</v>
      </c>
      <c r="O35" s="244">
        <f t="shared" si="7"/>
        <v>196880818</v>
      </c>
      <c r="P35" s="243">
        <f t="shared" si="7"/>
        <v>36918715</v>
      </c>
      <c r="Q35" s="244">
        <f t="shared" si="7"/>
        <v>28867285</v>
      </c>
      <c r="R35" s="243">
        <f t="shared" si="7"/>
        <v>0</v>
      </c>
      <c r="S35" s="247">
        <f t="shared" si="7"/>
        <v>3793265</v>
      </c>
      <c r="T35" s="302">
        <f t="shared" si="7"/>
        <v>4078859</v>
      </c>
      <c r="U35" s="247">
        <f t="shared" si="7"/>
        <v>2491708</v>
      </c>
    </row>
    <row r="36" spans="1:21" s="165" customFormat="1" ht="15" customHeight="1" thickBot="1">
      <c r="A36" s="57" t="s">
        <v>38</v>
      </c>
      <c r="B36" s="270">
        <f t="shared" si="0"/>
        <v>-9177068</v>
      </c>
      <c r="C36" s="270">
        <f t="shared" si="1"/>
        <v>-32368118</v>
      </c>
      <c r="D36" s="270">
        <f aca="true" t="shared" si="8" ref="D36:U36">+D28-D32</f>
        <v>-2085000</v>
      </c>
      <c r="E36" s="270">
        <f t="shared" si="8"/>
        <v>-19223000</v>
      </c>
      <c r="F36" s="243">
        <f t="shared" si="8"/>
        <v>751307</v>
      </c>
      <c r="G36" s="270">
        <f t="shared" si="8"/>
        <v>-155215</v>
      </c>
      <c r="H36" s="243">
        <f t="shared" si="8"/>
        <v>81821</v>
      </c>
      <c r="I36" s="266">
        <f t="shared" si="8"/>
        <v>-2762</v>
      </c>
      <c r="J36" s="243">
        <f t="shared" si="8"/>
        <v>11846</v>
      </c>
      <c r="K36" s="244">
        <f t="shared" si="8"/>
        <v>39144</v>
      </c>
      <c r="L36" s="266">
        <f t="shared" si="8"/>
        <v>-1368705</v>
      </c>
      <c r="M36" s="267">
        <f t="shared" si="8"/>
        <v>-864469</v>
      </c>
      <c r="N36" s="267">
        <f t="shared" si="8"/>
        <v>-6073331</v>
      </c>
      <c r="O36" s="267">
        <f t="shared" si="8"/>
        <v>-10137168</v>
      </c>
      <c r="P36" s="267">
        <f t="shared" si="8"/>
        <v>-777372</v>
      </c>
      <c r="Q36" s="267">
        <f t="shared" si="8"/>
        <v>-1386791</v>
      </c>
      <c r="R36" s="243">
        <f t="shared" si="8"/>
        <v>0</v>
      </c>
      <c r="S36" s="306">
        <f t="shared" si="8"/>
        <v>-510835</v>
      </c>
      <c r="T36" s="302">
        <f t="shared" si="8"/>
        <v>282366</v>
      </c>
      <c r="U36" s="298">
        <f t="shared" si="8"/>
        <v>-127022</v>
      </c>
    </row>
    <row r="37" spans="1:21" s="291" customFormat="1" ht="15" customHeight="1" thickBot="1">
      <c r="A37" s="290" t="s">
        <v>39</v>
      </c>
      <c r="B37" s="270">
        <f t="shared" si="0"/>
        <v>-11200775</v>
      </c>
      <c r="C37" s="271">
        <f t="shared" si="1"/>
        <v>17858150</v>
      </c>
      <c r="D37" s="270">
        <f aca="true" t="shared" si="9" ref="D37:U37">+D30-D35</f>
        <v>-750000</v>
      </c>
      <c r="E37" s="255">
        <f t="shared" si="9"/>
        <v>30227000</v>
      </c>
      <c r="F37" s="254">
        <f t="shared" si="9"/>
        <v>49796</v>
      </c>
      <c r="G37" s="270">
        <f t="shared" si="9"/>
        <v>-187096</v>
      </c>
      <c r="H37" s="254">
        <f t="shared" si="9"/>
        <v>80356</v>
      </c>
      <c r="I37" s="255">
        <f t="shared" si="9"/>
        <v>1575</v>
      </c>
      <c r="J37" s="254">
        <f t="shared" si="9"/>
        <v>11846</v>
      </c>
      <c r="K37" s="255">
        <f t="shared" si="9"/>
        <v>34593</v>
      </c>
      <c r="L37" s="266">
        <f t="shared" si="9"/>
        <v>-1601550</v>
      </c>
      <c r="M37" s="267">
        <f t="shared" si="9"/>
        <v>-1159367</v>
      </c>
      <c r="N37" s="267">
        <f t="shared" si="9"/>
        <v>-6769490</v>
      </c>
      <c r="O37" s="267">
        <f t="shared" si="9"/>
        <v>-9215943</v>
      </c>
      <c r="P37" s="267">
        <f t="shared" si="9"/>
        <v>-2401517</v>
      </c>
      <c r="Q37" s="267">
        <f t="shared" si="9"/>
        <v>-2587158</v>
      </c>
      <c r="R37" s="266">
        <f t="shared" si="9"/>
        <v>0</v>
      </c>
      <c r="S37" s="307">
        <f t="shared" si="9"/>
        <v>883932</v>
      </c>
      <c r="T37" s="303">
        <f t="shared" si="9"/>
        <v>179784</v>
      </c>
      <c r="U37" s="298">
        <f t="shared" si="9"/>
        <v>-139386</v>
      </c>
    </row>
    <row r="38" spans="1:5" ht="12">
      <c r="A38" s="292" t="s">
        <v>107</v>
      </c>
      <c r="B38" s="164"/>
      <c r="C38" s="164"/>
      <c r="D38" s="164"/>
      <c r="E38" s="164"/>
    </row>
    <row r="39" spans="4:21" s="165" customFormat="1" ht="9.75">
      <c r="D39" s="293"/>
      <c r="E39" s="293"/>
      <c r="H39" s="294"/>
      <c r="I39" s="294"/>
      <c r="R39" s="295"/>
      <c r="S39" s="295"/>
      <c r="T39" s="296"/>
      <c r="U39" s="296"/>
    </row>
    <row r="40" spans="13:21" ht="12">
      <c r="M40" s="297"/>
      <c r="T40" s="211"/>
      <c r="U40" s="211"/>
    </row>
    <row r="62" s="165" customFormat="1" ht="15" customHeight="1"/>
    <row r="63" s="165" customFormat="1" ht="15" customHeight="1"/>
    <row r="64" s="165" customFormat="1" ht="15" customHeight="1"/>
    <row r="65" s="165" customFormat="1" ht="15" customHeight="1"/>
    <row r="66" s="165" customFormat="1" ht="15" customHeight="1"/>
    <row r="67" s="165" customFormat="1" ht="15" customHeight="1"/>
    <row r="68" s="165" customFormat="1" ht="15" customHeight="1"/>
    <row r="69" s="165" customFormat="1" ht="15" customHeight="1"/>
    <row r="70" s="165" customFormat="1" ht="15" customHeight="1"/>
    <row r="71" s="165" customFormat="1" ht="15" customHeight="1"/>
    <row r="72" s="165" customFormat="1" ht="15" customHeight="1"/>
    <row r="73" s="165" customFormat="1" ht="15" customHeight="1"/>
    <row r="74" s="165" customFormat="1" ht="15" customHeight="1"/>
    <row r="75" s="165" customFormat="1" ht="15" customHeight="1"/>
    <row r="76" s="165" customFormat="1" ht="15" customHeight="1"/>
    <row r="77" s="165" customFormat="1" ht="15" customHeight="1"/>
    <row r="78" s="165" customFormat="1" ht="15" customHeight="1"/>
    <row r="79" s="165" customFormat="1" ht="15" customHeight="1"/>
    <row r="80" s="165" customFormat="1" ht="15" customHeight="1"/>
    <row r="81" s="165" customFormat="1" ht="15" customHeight="1"/>
    <row r="82" s="165" customFormat="1" ht="15" customHeight="1"/>
    <row r="83" s="165" customFormat="1" ht="15" customHeight="1"/>
    <row r="84" s="165" customFormat="1" ht="15" customHeight="1"/>
    <row r="85" s="165" customFormat="1" ht="15" customHeight="1"/>
    <row r="86" s="165" customFormat="1" ht="15" customHeight="1"/>
    <row r="87" s="165" customFormat="1" ht="15" customHeight="1"/>
    <row r="88" s="165" customFormat="1" ht="15" customHeight="1"/>
    <row r="89" s="165" customFormat="1" ht="15" customHeight="1"/>
    <row r="90" s="165" customFormat="1" ht="15" customHeight="1"/>
    <row r="91" s="165" customFormat="1" ht="15" customHeight="1"/>
    <row r="92" s="165" customFormat="1" ht="15" customHeight="1"/>
    <row r="93" s="165" customFormat="1" ht="15" customHeight="1"/>
    <row r="94" s="165" customFormat="1" ht="15" customHeight="1"/>
    <row r="95" s="165" customFormat="1" ht="15" customHeight="1"/>
    <row r="96" s="165" customFormat="1" ht="15" customHeight="1"/>
    <row r="97" s="165" customFormat="1" ht="15" customHeight="1"/>
    <row r="98" s="165" customFormat="1" ht="15" customHeight="1"/>
    <row r="99" s="165" customFormat="1" ht="15" customHeight="1"/>
    <row r="100" s="165" customFormat="1" ht="15" customHeight="1"/>
    <row r="101" s="165" customFormat="1" ht="15" customHeight="1"/>
    <row r="102" s="165" customFormat="1" ht="15" customHeight="1"/>
    <row r="103" s="165" customFormat="1" ht="15" customHeight="1"/>
    <row r="104" s="165" customFormat="1" ht="15" customHeight="1"/>
    <row r="105" s="165" customFormat="1" ht="15" customHeight="1"/>
    <row r="106" s="165" customFormat="1" ht="15" customHeight="1"/>
    <row r="107" s="165" customFormat="1" ht="15" customHeight="1"/>
    <row r="108" s="165" customFormat="1" ht="15" customHeight="1"/>
    <row r="109" s="165" customFormat="1" ht="15" customHeight="1"/>
    <row r="110" s="165" customFormat="1" ht="15" customHeight="1"/>
    <row r="111" s="165" customFormat="1" ht="15" customHeight="1"/>
    <row r="112" s="165" customFormat="1" ht="15" customHeight="1"/>
    <row r="113" s="165" customFormat="1" ht="15" customHeight="1"/>
    <row r="114" s="165" customFormat="1" ht="15" customHeight="1"/>
    <row r="115" s="165" customFormat="1" ht="15" customHeight="1"/>
    <row r="116" s="165" customFormat="1" ht="15" customHeight="1"/>
    <row r="117" s="165" customFormat="1" ht="15" customHeight="1"/>
    <row r="118" s="165" customFormat="1" ht="15" customHeight="1"/>
    <row r="119" s="165" customFormat="1" ht="15" customHeight="1"/>
    <row r="120" s="165" customFormat="1" ht="15" customHeight="1"/>
    <row r="121" s="165" customFormat="1" ht="15" customHeight="1"/>
    <row r="122" s="165" customFormat="1" ht="15" customHeight="1"/>
    <row r="123" s="165" customFormat="1" ht="15" customHeight="1"/>
    <row r="124" s="165" customFormat="1" ht="15" customHeight="1"/>
    <row r="125" s="165" customFormat="1" ht="15" customHeight="1"/>
  </sheetData>
  <sheetProtection/>
  <mergeCells count="11">
    <mergeCell ref="L6:M6"/>
    <mergeCell ref="N6:O6"/>
    <mergeCell ref="P6:Q6"/>
    <mergeCell ref="R6:S6"/>
    <mergeCell ref="T6:U6"/>
    <mergeCell ref="A6:A7"/>
    <mergeCell ref="B6:C6"/>
    <mergeCell ref="D6:E6"/>
    <mergeCell ref="F6:G6"/>
    <mergeCell ref="H6:I6"/>
    <mergeCell ref="J6:K6"/>
  </mergeCells>
  <printOptions/>
  <pageMargins left="1.3779527559055118" right="0.76" top="1.141732283464567" bottom="0.5905511811023623" header="0.17" footer="0"/>
  <pageSetup fitToWidth="2" fitToHeight="1" horizontalDpi="600" verticalDpi="600" orientation="landscape" paperSize="45" scale="83" r:id="rId4"/>
  <legacyDrawing r:id="rId3"/>
  <oleObjects>
    <oleObject progId="MSPhotoEd.3" shapeId="1042162" r:id="rId1"/>
    <oleObject progId="MSPhotoEd.3" shapeId="1042163" r:id="rId2"/>
  </oleObjects>
</worksheet>
</file>

<file path=xl/worksheets/sheet11.xml><?xml version="1.0" encoding="utf-8"?>
<worksheet xmlns="http://schemas.openxmlformats.org/spreadsheetml/2006/main" xmlns:r="http://schemas.openxmlformats.org/officeDocument/2006/relationships">
  <dimension ref="A1:CK27"/>
  <sheetViews>
    <sheetView zoomScalePageLayoutView="0" workbookViewId="0" topLeftCell="A1">
      <selection activeCell="C8" sqref="C8"/>
    </sheetView>
  </sheetViews>
  <sheetFormatPr defaultColWidth="11.421875" defaultRowHeight="12.75"/>
  <cols>
    <col min="1" max="1" width="35.8515625" style="0" bestFit="1" customWidth="1"/>
    <col min="2" max="3" width="11.00390625" style="0" customWidth="1"/>
    <col min="4" max="5" width="9.8515625" style="0" customWidth="1"/>
    <col min="6" max="7" width="9.57421875" style="0" customWidth="1"/>
    <col min="8" max="9" width="9.00390625" style="0" customWidth="1"/>
    <col min="10" max="13" width="8.57421875" style="0" customWidth="1"/>
    <col min="14" max="15" width="9.8515625" style="0" customWidth="1"/>
    <col min="17" max="17" width="14.8515625" style="0" customWidth="1"/>
  </cols>
  <sheetData>
    <row r="1" ht="13.5">
      <c r="A1" s="23" t="s">
        <v>95</v>
      </c>
    </row>
    <row r="2" ht="13.5">
      <c r="A2" s="23" t="s">
        <v>71</v>
      </c>
    </row>
    <row r="3" ht="13.5">
      <c r="A3" s="23" t="s">
        <v>72</v>
      </c>
    </row>
    <row r="4" spans="1:21" ht="14.25" thickBot="1">
      <c r="A4" s="23" t="s">
        <v>130</v>
      </c>
      <c r="E4">
        <v>1</v>
      </c>
      <c r="G4">
        <v>2</v>
      </c>
      <c r="I4">
        <v>3</v>
      </c>
      <c r="K4">
        <v>4</v>
      </c>
      <c r="M4">
        <v>5</v>
      </c>
      <c r="O4">
        <v>6</v>
      </c>
      <c r="Q4">
        <v>7</v>
      </c>
      <c r="S4">
        <v>8</v>
      </c>
      <c r="U4">
        <v>9</v>
      </c>
    </row>
    <row r="5" spans="1:21" s="2" customFormat="1" ht="36" customHeight="1" thickBot="1">
      <c r="A5" s="381" t="s">
        <v>56</v>
      </c>
      <c r="B5" s="383" t="s">
        <v>10</v>
      </c>
      <c r="C5" s="384"/>
      <c r="D5" s="383" t="s">
        <v>123</v>
      </c>
      <c r="E5" s="384"/>
      <c r="F5" s="368" t="s">
        <v>7</v>
      </c>
      <c r="G5" s="369"/>
      <c r="H5" s="368" t="s">
        <v>54</v>
      </c>
      <c r="I5" s="369"/>
      <c r="J5" s="368" t="s">
        <v>99</v>
      </c>
      <c r="K5" s="369"/>
      <c r="L5" s="368" t="s">
        <v>102</v>
      </c>
      <c r="M5" s="369"/>
      <c r="N5" s="368" t="s">
        <v>100</v>
      </c>
      <c r="O5" s="369"/>
      <c r="P5" s="368" t="s">
        <v>124</v>
      </c>
      <c r="Q5" s="369"/>
      <c r="R5" s="368" t="s">
        <v>79</v>
      </c>
      <c r="S5" s="369"/>
      <c r="T5" s="368" t="s">
        <v>61</v>
      </c>
      <c r="U5" s="369"/>
    </row>
    <row r="6" spans="1:21" s="2" customFormat="1" ht="12.75" customHeight="1" thickBot="1">
      <c r="A6" s="382"/>
      <c r="B6" s="210">
        <v>40724</v>
      </c>
      <c r="C6" s="210">
        <v>41090</v>
      </c>
      <c r="D6" s="210">
        <v>40724</v>
      </c>
      <c r="E6" s="210">
        <v>41090</v>
      </c>
      <c r="F6" s="210">
        <v>40724</v>
      </c>
      <c r="G6" s="210">
        <v>41090</v>
      </c>
      <c r="H6" s="210">
        <v>40724</v>
      </c>
      <c r="I6" s="210">
        <v>41090</v>
      </c>
      <c r="J6" s="210">
        <v>40724</v>
      </c>
      <c r="K6" s="210">
        <v>41090</v>
      </c>
      <c r="L6" s="210">
        <v>40724</v>
      </c>
      <c r="M6" s="210">
        <v>41090</v>
      </c>
      <c r="N6" s="210">
        <v>40724</v>
      </c>
      <c r="O6" s="210">
        <v>41090</v>
      </c>
      <c r="P6" s="210">
        <v>40724</v>
      </c>
      <c r="Q6" s="210">
        <v>41090</v>
      </c>
      <c r="R6" s="210">
        <v>40724</v>
      </c>
      <c r="S6" s="210">
        <v>41090</v>
      </c>
      <c r="T6" s="210">
        <v>40724</v>
      </c>
      <c r="U6" s="210">
        <v>41090</v>
      </c>
    </row>
    <row r="7" spans="1:89" ht="13.5" thickBot="1">
      <c r="A7" s="183" t="s">
        <v>40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86"/>
      <c r="M7" s="86"/>
      <c r="N7" s="86"/>
      <c r="O7" s="86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</row>
    <row r="8" spans="1:89" ht="13.5" thickBot="1">
      <c r="A8" s="184" t="s">
        <v>60</v>
      </c>
      <c r="B8" s="162">
        <f>'14'!B10/'14'!B15</f>
        <v>1.0206612291972232</v>
      </c>
      <c r="C8" s="162">
        <f>'14'!C10/'14'!C15</f>
        <v>0.9469628172632399</v>
      </c>
      <c r="D8" s="162">
        <f>'14'!D10/'14'!D15</f>
        <v>1.2612925774091777</v>
      </c>
      <c r="E8" s="162">
        <f>'14'!E10/'14'!E15</f>
        <v>0.9819079973457501</v>
      </c>
      <c r="F8" s="162">
        <f>'14'!F10/'14'!F15</f>
        <v>2.0955747734211805</v>
      </c>
      <c r="G8" s="162">
        <f>'14'!G10/'14'!G15</f>
        <v>0.9902951759182637</v>
      </c>
      <c r="H8" s="162">
        <f>'14'!H10/'14'!H15</f>
        <v>4.575114345517268</v>
      </c>
      <c r="I8" s="162">
        <f>'14'!I10/'14'!I15</f>
        <v>2.8700754806381847</v>
      </c>
      <c r="J8" s="162">
        <f>'14'!J10/'14'!J15</f>
        <v>122.19797405366981</v>
      </c>
      <c r="K8" s="162">
        <f>'14'!K10/'14'!K15</f>
        <v>6.655764542718454</v>
      </c>
      <c r="L8" s="162">
        <f>'14'!L10/'14'!L15</f>
        <v>1.0615851668719913</v>
      </c>
      <c r="M8" s="162">
        <f>'14'!M10/'14'!M15</f>
        <v>0.6209770502549898</v>
      </c>
      <c r="N8" s="162">
        <f>'14'!N10/'14'!N15</f>
        <v>0.9660877761187822</v>
      </c>
      <c r="O8" s="162">
        <f>'14'!O10/'14'!O15</f>
        <v>0.8529696378858677</v>
      </c>
      <c r="P8" s="162">
        <f>'14'!P10/'14'!P15</f>
        <v>1.9700443941025412</v>
      </c>
      <c r="Q8" s="162">
        <f>'14'!Q10/'14'!Q15</f>
        <v>1.3414474993575791</v>
      </c>
      <c r="R8" s="162" t="e">
        <f>'14'!R10/'14'!R15</f>
        <v>#DIV/0!</v>
      </c>
      <c r="S8" s="162">
        <f>'14'!S10/'14'!S15</f>
        <v>2.0452639364282152</v>
      </c>
      <c r="T8" s="162">
        <f>'14'!S10/'14'!S15</f>
        <v>2.0452639364282152</v>
      </c>
      <c r="U8" s="162">
        <f>'14'!T10/'14'!T15</f>
        <v>3.754585143167202</v>
      </c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</row>
    <row r="9" spans="1:89" ht="13.5" thickBot="1">
      <c r="A9" s="72" t="s">
        <v>41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</row>
    <row r="10" spans="1:89" ht="12.75">
      <c r="A10" s="75" t="s">
        <v>8</v>
      </c>
      <c r="B10" s="76">
        <f>+'14'!B15/'14'!B18</f>
        <v>0.9144146236687476</v>
      </c>
      <c r="C10" s="76">
        <f>+'14'!C15/'14'!C18</f>
        <v>0.9822976890648409</v>
      </c>
      <c r="D10" s="76">
        <f>+'14'!D15/'14'!D18</f>
        <v>0.5841043890865955</v>
      </c>
      <c r="E10" s="76">
        <f>+'14'!E15/'14'!E18</f>
        <v>0.9972907239819004</v>
      </c>
      <c r="F10" s="76">
        <f>+'14'!F15/'14'!F18</f>
        <v>0.6455163136914543</v>
      </c>
      <c r="G10" s="76">
        <f>+'14'!G15/'14'!G18</f>
        <v>0.8410745493649872</v>
      </c>
      <c r="H10" s="76">
        <f>+'14'!H15/'14'!H18</f>
        <v>1</v>
      </c>
      <c r="I10" s="76">
        <f>+'14'!I15/'14'!I18</f>
        <v>1</v>
      </c>
      <c r="J10" s="76">
        <f>+'14'!J15/'14'!J18</f>
        <v>1</v>
      </c>
      <c r="K10" s="76">
        <f>+'14'!K15/'14'!K18</f>
        <v>1</v>
      </c>
      <c r="L10" s="76">
        <f>+'14'!L15/'14'!L18</f>
        <v>0.6880663224492765</v>
      </c>
      <c r="M10" s="76">
        <f>+'14'!M15/'14'!M18</f>
        <v>0.5078445169601664</v>
      </c>
      <c r="N10" s="76">
        <f>+'14'!N15/'14'!N18</f>
        <v>1</v>
      </c>
      <c r="O10" s="76">
        <f>+'14'!O15/'14'!O18</f>
        <v>1</v>
      </c>
      <c r="P10" s="76">
        <f>+'14'!P15/'14'!P18</f>
        <v>0.9998471029459661</v>
      </c>
      <c r="Q10" s="76">
        <f>+'14'!Q15/'14'!Q18</f>
        <v>0.9907318011442099</v>
      </c>
      <c r="R10" s="76" t="e">
        <f>+'14'!R15/'14'!R18</f>
        <v>#DIV/0!</v>
      </c>
      <c r="S10" s="76">
        <f>+'14'!S15/'14'!S18</f>
        <v>0.8912107161730931</v>
      </c>
      <c r="T10" s="76">
        <f>+'14'!S15/'14'!S18</f>
        <v>0.8912107161730931</v>
      </c>
      <c r="U10" s="76">
        <f>+'14'!T15/'14'!T18</f>
        <v>1</v>
      </c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</row>
    <row r="11" spans="1:89" ht="12.75">
      <c r="A11" s="55" t="s">
        <v>42</v>
      </c>
      <c r="B11" s="63">
        <f>'14'!B18/'14'!B24</f>
        <v>7.9342307764420665</v>
      </c>
      <c r="C11" s="63">
        <f>'14'!C18/'14'!C24</f>
        <v>2.6577344351813776</v>
      </c>
      <c r="D11" s="63">
        <f>'14'!E18/'14'!E24</f>
        <v>1.6364612451174587</v>
      </c>
      <c r="E11" s="63">
        <f>'14'!F18/'14'!F24</f>
        <v>0.579686915509664</v>
      </c>
      <c r="F11" s="63">
        <f>'14'!F18/'14'!F24</f>
        <v>0.579686915509664</v>
      </c>
      <c r="G11" s="63">
        <f>'14'!G18/'14'!G24</f>
        <v>1.5074287274510223</v>
      </c>
      <c r="H11" s="63">
        <f>'14'!H18/'14'!H24</f>
        <v>0.24287412184186682</v>
      </c>
      <c r="I11" s="63">
        <f>'14'!I18/'14'!I24</f>
        <v>0.46382680062528725</v>
      </c>
      <c r="J11" s="63">
        <f>'14'!J18/'14'!J24</f>
        <v>0.007267931849092574</v>
      </c>
      <c r="K11" s="63">
        <f>'14'!K18/'14'!K24</f>
        <v>0.17459851864426243</v>
      </c>
      <c r="L11" s="63">
        <f>'14'!L18/'14'!L24</f>
        <v>16.21460089888867</v>
      </c>
      <c r="M11" s="63">
        <f>'14'!M18/'14'!M24</f>
        <v>-2.619312669345808</v>
      </c>
      <c r="N11" s="63">
        <f>'14'!N18/'14'!N24</f>
        <v>-63.14375984973701</v>
      </c>
      <c r="O11" s="63">
        <f>'14'!O18/'14'!O24</f>
        <v>-14.85632264452608</v>
      </c>
      <c r="P11" s="63">
        <f>'14'!P18/'14'!P24</f>
        <v>0.26054693579317495</v>
      </c>
      <c r="Q11" s="63">
        <f>'14'!Q18/'14'!Q24</f>
        <v>0.3250338138723265</v>
      </c>
      <c r="R11" s="63" t="e">
        <f>'14'!R18/'14'!R24</f>
        <v>#DIV/0!</v>
      </c>
      <c r="S11" s="63">
        <f>'14'!S18/'14'!S24</f>
        <v>0.6923054269842794</v>
      </c>
      <c r="T11" s="63">
        <f>'14'!S18/'14'!S24</f>
        <v>0.6923054269842794</v>
      </c>
      <c r="U11" s="63">
        <f>'14'!T18/'14'!T24</f>
        <v>0.3340364459552683</v>
      </c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</row>
    <row r="12" spans="1:89" ht="12.75">
      <c r="A12" s="56" t="s">
        <v>43</v>
      </c>
      <c r="B12" s="63">
        <f>'14'!B16/'14'!B24</f>
        <v>0.6790427280368465</v>
      </c>
      <c r="C12" s="63">
        <f>'14'!C16/'14'!C24</f>
        <v>0.046364435469484405</v>
      </c>
      <c r="D12" s="63">
        <f>'14'!D16/'14'!D24</f>
        <v>0.8890500790224801</v>
      </c>
      <c r="E12" s="63">
        <f>'14'!E16/'14'!E24</f>
        <v>0.004433625205946056</v>
      </c>
      <c r="F12" s="63">
        <f>'14'!F16/'14'!F24</f>
        <v>0.20548955471469613</v>
      </c>
      <c r="G12" s="63">
        <f>'14'!G16/'14'!G24</f>
        <v>0.23956878981031765</v>
      </c>
      <c r="H12" s="63">
        <f>'14'!H16/'14'!H24</f>
        <v>0</v>
      </c>
      <c r="I12" s="63">
        <f>'14'!I16/'14'!I24</f>
        <v>0</v>
      </c>
      <c r="J12" s="63">
        <f>'14'!J16/'14'!J24</f>
        <v>0</v>
      </c>
      <c r="K12" s="63">
        <f>'14'!K16/'14'!K24</f>
        <v>0</v>
      </c>
      <c r="L12" s="63">
        <f>'14'!L16/'14'!L24</f>
        <v>5.057880088407611</v>
      </c>
      <c r="M12" s="63">
        <f>'14'!M16/'14'!M24</f>
        <v>-1.289109092014242</v>
      </c>
      <c r="N12" s="63">
        <f>'14'!N16/'14'!N24</f>
        <v>0</v>
      </c>
      <c r="O12" s="63">
        <f>'14'!O16/'14'!O24</f>
        <v>0</v>
      </c>
      <c r="P12" s="63">
        <f>'14'!P16/'14'!P24</f>
        <v>0</v>
      </c>
      <c r="Q12" s="63">
        <f>'14'!Q16/'14'!Q24</f>
        <v>0</v>
      </c>
      <c r="R12" s="63" t="e">
        <f>'14'!R16/'14'!R24</f>
        <v>#DIV/0!</v>
      </c>
      <c r="S12" s="63">
        <f>'14'!S16/'14'!S24</f>
        <v>0.07531541159110071</v>
      </c>
      <c r="T12" s="63">
        <f>'14'!S16/'14'!S24</f>
        <v>0.07531541159110071</v>
      </c>
      <c r="U12" s="63">
        <f>'14'!T16/'14'!T24</f>
        <v>0</v>
      </c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</row>
    <row r="13" spans="1:89" ht="13.5" thickBot="1">
      <c r="A13" s="78" t="s">
        <v>44</v>
      </c>
      <c r="B13" s="79">
        <f>'14'!B18/'14'!B13</f>
        <v>0.8880709612370076</v>
      </c>
      <c r="C13" s="79">
        <f>'14'!C18/'14'!C13</f>
        <v>0.7266067211018963</v>
      </c>
      <c r="D13" s="79">
        <f>'14'!D18/'14'!D13</f>
        <v>0.6812927816683018</v>
      </c>
      <c r="E13" s="79">
        <f>'14'!E18/'14'!E13</f>
        <v>0.6207036982425098</v>
      </c>
      <c r="F13" s="79">
        <f>'14'!F18/'14'!F13</f>
        <v>0.36696316834569465</v>
      </c>
      <c r="G13" s="79">
        <f>'14'!G18/'14'!G13</f>
        <v>0.6011851228767425</v>
      </c>
      <c r="H13" s="79">
        <f>'14'!H18/'14'!H13</f>
        <v>0.19541495569381154</v>
      </c>
      <c r="I13" s="79">
        <f>'14'!I18/'14'!I13</f>
        <v>0.3168589434429819</v>
      </c>
      <c r="J13" s="79">
        <f>'14'!J18/'14'!J13</f>
        <v>0.007215490158363788</v>
      </c>
      <c r="K13" s="79">
        <f>'14'!K18/'14'!K13</f>
        <v>0.14864495808365416</v>
      </c>
      <c r="L13" s="79">
        <f>'14'!L18/'14'!L13</f>
        <v>0.9419095640103776</v>
      </c>
      <c r="M13" s="79">
        <f>'14'!M18/'14'!M13</f>
        <v>1.6175459618950512</v>
      </c>
      <c r="N13" s="79">
        <f>'14'!N18/'14'!N13</f>
        <v>1.0160917231269406</v>
      </c>
      <c r="O13" s="79">
        <f>'14'!O18/'14'!O13</f>
        <v>1.0721692348972525</v>
      </c>
      <c r="P13" s="79">
        <f>'14'!P18/'14'!P13</f>
        <v>0.20669356165562433</v>
      </c>
      <c r="Q13" s="79">
        <f>'14'!Q18/'14'!Q13</f>
        <v>0.24530226681022826</v>
      </c>
      <c r="R13" s="79" t="e">
        <f>'14'!R18/'14'!R13</f>
        <v>#DIV/0!</v>
      </c>
      <c r="S13" s="79">
        <f>'14'!S18/'14'!S13</f>
        <v>0.4090900539644645</v>
      </c>
      <c r="T13" s="79">
        <f>'14'!S18/'14'!S13</f>
        <v>0.4090900539644645</v>
      </c>
      <c r="U13" s="79">
        <f>'14'!T18/'14'!T13</f>
        <v>0.25039529239853237</v>
      </c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</row>
    <row r="14" spans="1:89" ht="13.5" thickBot="1">
      <c r="A14" s="72" t="s">
        <v>45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</row>
    <row r="15" spans="1:89" ht="12.75">
      <c r="A15" s="75" t="s">
        <v>58</v>
      </c>
      <c r="B15" s="70">
        <f>'14'!B13/'14'!B18</f>
        <v>1.1260361431107766</v>
      </c>
      <c r="C15" s="70">
        <f>'14'!C13/'14'!C18</f>
        <v>1.3762603220673544</v>
      </c>
      <c r="D15" s="70">
        <f>'14'!D13/'14'!D18</f>
        <v>1.4677977323512372</v>
      </c>
      <c r="E15" s="70">
        <f>'14'!E13/'14'!E18</f>
        <v>1.6110746606334843</v>
      </c>
      <c r="F15" s="70">
        <f>'14'!F13/'14'!F18</f>
        <v>2.7250691248064385</v>
      </c>
      <c r="G15" s="70">
        <f>'14'!G13/'14'!G18</f>
        <v>1.6633811482474494</v>
      </c>
      <c r="H15" s="70">
        <f>'14'!H13/'14'!H18</f>
        <v>5.11731559362766</v>
      </c>
      <c r="I15" s="70">
        <f>'14'!I13/'14'!I18</f>
        <v>3.155978458849933</v>
      </c>
      <c r="J15" s="70">
        <f>'14'!J13/'14'!J18</f>
        <v>138.59072329838278</v>
      </c>
      <c r="K15" s="70">
        <f>'14'!K13/'14'!K18</f>
        <v>6.727439752360936</v>
      </c>
      <c r="L15" s="70">
        <f>'14'!L13/'14'!L18</f>
        <v>1.0616730503746985</v>
      </c>
      <c r="M15" s="70">
        <f>'14'!M13/'14'!M18</f>
        <v>0.6182204546623458</v>
      </c>
      <c r="N15" s="70">
        <f>'14'!N13/'14'!N18</f>
        <v>0.9841631195681629</v>
      </c>
      <c r="O15" s="70">
        <f>'14'!O13/'14'!O18</f>
        <v>0.9326885788658462</v>
      </c>
      <c r="P15" s="70">
        <f>'14'!P13/'14'!P18</f>
        <v>4.838080063984369</v>
      </c>
      <c r="Q15" s="70">
        <f>'14'!Q13/'14'!Q18</f>
        <v>4.076603176168869</v>
      </c>
      <c r="R15" s="70" t="e">
        <f>'14'!R13/'14'!R18</f>
        <v>#DIV/0!</v>
      </c>
      <c r="S15" s="70">
        <f>'14'!S13/'14'!S18</f>
        <v>2.444449554099559</v>
      </c>
      <c r="T15" s="70">
        <f>'14'!S13/'14'!S18</f>
        <v>2.444449554099559</v>
      </c>
      <c r="U15" s="70">
        <f>'14'!T13/'14'!T18</f>
        <v>3.9936853062252746</v>
      </c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</row>
    <row r="16" spans="1:89" ht="13.5" thickBot="1">
      <c r="A16" s="78" t="s">
        <v>57</v>
      </c>
      <c r="B16" s="79">
        <f>'14'!B13/'14'!B15</f>
        <v>1.2314284067253611</v>
      </c>
      <c r="C16" s="79">
        <f>'14'!C13/'14'!C15</f>
        <v>1.4010623636685642</v>
      </c>
      <c r="D16" s="79">
        <f>'14'!D13/'14'!D15</f>
        <v>2.5129031039238283</v>
      </c>
      <c r="E16" s="79">
        <f>'14'!E13/'14'!E15</f>
        <v>1.6154513642731154</v>
      </c>
      <c r="F16" s="79">
        <f>'14'!F13/'14'!F15</f>
        <v>4.221534091404814</v>
      </c>
      <c r="G16" s="79">
        <f>'14'!G13/'14'!G15</f>
        <v>1.9776857467668059</v>
      </c>
      <c r="H16" s="79">
        <f>'14'!H13/'14'!H15</f>
        <v>5.11731559362766</v>
      </c>
      <c r="I16" s="79">
        <f>'14'!I13/'14'!I15</f>
        <v>3.155978458849933</v>
      </c>
      <c r="J16" s="79">
        <f>'14'!J13/'14'!J15</f>
        <v>138.59072329838278</v>
      </c>
      <c r="K16" s="79">
        <f>'14'!K13/'14'!K15</f>
        <v>6.727439752360936</v>
      </c>
      <c r="L16" s="79">
        <f>'14'!L13/'14'!L15</f>
        <v>1.5429806920290943</v>
      </c>
      <c r="M16" s="79">
        <f>'14'!M13/'14'!M15</f>
        <v>1.2173419895578725</v>
      </c>
      <c r="N16" s="79">
        <f>'14'!N13/'14'!N15</f>
        <v>0.9841631195681629</v>
      </c>
      <c r="O16" s="79">
        <f>'14'!O13/'14'!O15</f>
        <v>0.9326885788658462</v>
      </c>
      <c r="P16" s="79">
        <f>'14'!P13/'14'!P15</f>
        <v>4.838819905292888</v>
      </c>
      <c r="Q16" s="79">
        <f>'14'!Q13/'14'!Q15</f>
        <v>4.114739399160039</v>
      </c>
      <c r="R16" s="79" t="e">
        <f>'14'!R13/'14'!R15</f>
        <v>#DIV/0!</v>
      </c>
      <c r="S16" s="79">
        <f>'14'!S13/'14'!S15</f>
        <v>2.742841294139906</v>
      </c>
      <c r="T16" s="79">
        <f>'14'!S13/'14'!S15</f>
        <v>2.742841294139906</v>
      </c>
      <c r="U16" s="79">
        <f>'14'!T13/'14'!T15</f>
        <v>3.9936853062252746</v>
      </c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</row>
    <row r="17" spans="1:89" ht="13.5" thickBot="1">
      <c r="A17" s="72" t="s">
        <v>47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</row>
    <row r="18" spans="1:89" ht="12.75">
      <c r="A18" s="75" t="s">
        <v>48</v>
      </c>
      <c r="B18" s="70">
        <f>'14'!B11/'14'!B16</f>
        <v>0.3347037897295813</v>
      </c>
      <c r="C18" s="70">
        <f>'14'!C11/'14'!C16</f>
        <v>5.0593009390453005</v>
      </c>
      <c r="D18" s="70">
        <f>'14'!D11/'14'!D16</f>
        <v>0.11596067870361772</v>
      </c>
      <c r="E18" s="70">
        <f>'14'!E11/'14'!E16</f>
        <v>15.148225469728601</v>
      </c>
      <c r="F18" s="70">
        <f>'14'!F11/'14'!F16</f>
        <v>1.1855389588833076</v>
      </c>
      <c r="G18" s="70">
        <f>'14'!G11/'14'!G16</f>
        <v>0.5229990596963495</v>
      </c>
      <c r="H18" s="70" t="e">
        <f>'14'!H11/'14'!H16</f>
        <v>#DIV/0!</v>
      </c>
      <c r="I18" s="70" t="e">
        <f>'14'!I11/'14'!I16</f>
        <v>#DIV/0!</v>
      </c>
      <c r="J18" s="70" t="e">
        <f>'14'!J11/'14'!J16</f>
        <v>#DIV/0!</v>
      </c>
      <c r="K18" s="70" t="e">
        <f>'14'!K11/'14'!K16</f>
        <v>#DIV/0!</v>
      </c>
      <c r="L18" s="70">
        <f>'14'!L11/'14'!L16</f>
        <v>0.12987194648965525</v>
      </c>
      <c r="M18" s="70">
        <f>'14'!M11/'14'!M16</f>
        <v>0.07556035935720842</v>
      </c>
      <c r="N18" s="70" t="e">
        <f>'14'!N11/'14'!N16</f>
        <v>#DIV/0!</v>
      </c>
      <c r="O18" s="70" t="e">
        <f>'14'!O11/'14'!O16</f>
        <v>#DIV/0!</v>
      </c>
      <c r="P18" s="70" t="e">
        <f>'14'!P11/'14'!P16</f>
        <v>#DIV/0!</v>
      </c>
      <c r="Q18" s="70" t="e">
        <f>'14'!Q11/'14'!Q16</f>
        <v>#DIV/0!</v>
      </c>
      <c r="R18" s="70" t="e">
        <f>'14'!R11/'14'!R16</f>
        <v>#DIV/0!</v>
      </c>
      <c r="S18" s="70">
        <f>'14'!S11/'14'!S16</f>
        <v>4.168850108673062</v>
      </c>
      <c r="T18" s="70">
        <f>'14'!S11/'14'!S16</f>
        <v>4.168850108673062</v>
      </c>
      <c r="U18" s="70" t="e">
        <f>'14'!T11/'14'!T16</f>
        <v>#DIV/0!</v>
      </c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</row>
    <row r="19" spans="1:89" ht="13.5" thickBot="1">
      <c r="A19" s="78" t="s">
        <v>46</v>
      </c>
      <c r="B19" s="79">
        <f>'14'!B13/'14'!B18</f>
        <v>1.1260361431107766</v>
      </c>
      <c r="C19" s="79">
        <f>'14'!C13/'14'!C18</f>
        <v>1.3762603220673544</v>
      </c>
      <c r="D19" s="79">
        <f>'14'!D13/'14'!D18</f>
        <v>1.4677977323512372</v>
      </c>
      <c r="E19" s="79">
        <f>'14'!E13/'14'!E18</f>
        <v>1.6110746606334843</v>
      </c>
      <c r="F19" s="79">
        <f>'14'!F13/'14'!F18</f>
        <v>2.7250691248064385</v>
      </c>
      <c r="G19" s="79">
        <f>'14'!G13/'14'!G18</f>
        <v>1.6633811482474494</v>
      </c>
      <c r="H19" s="79">
        <f>'14'!H13/'14'!H18</f>
        <v>5.11731559362766</v>
      </c>
      <c r="I19" s="79">
        <f>'14'!I13/'14'!I18</f>
        <v>3.155978458849933</v>
      </c>
      <c r="J19" s="79">
        <f>'14'!J13/'14'!J18</f>
        <v>138.59072329838278</v>
      </c>
      <c r="K19" s="79">
        <f>'14'!K13/'14'!K18</f>
        <v>6.727439752360936</v>
      </c>
      <c r="L19" s="79">
        <f>'14'!L13/'14'!L18</f>
        <v>1.0616730503746985</v>
      </c>
      <c r="M19" s="79">
        <f>'14'!M13/'14'!M18</f>
        <v>0.6182204546623458</v>
      </c>
      <c r="N19" s="79">
        <f>'14'!N13/'14'!N18</f>
        <v>0.9841631195681629</v>
      </c>
      <c r="O19" s="79">
        <f>'14'!O13/'14'!O18</f>
        <v>0.9326885788658462</v>
      </c>
      <c r="P19" s="79">
        <f>'14'!P13/'14'!P18</f>
        <v>4.838080063984369</v>
      </c>
      <c r="Q19" s="79">
        <f>'14'!Q13/'14'!Q18</f>
        <v>4.076603176168869</v>
      </c>
      <c r="R19" s="79" t="e">
        <f>'14'!R13/'14'!R18</f>
        <v>#DIV/0!</v>
      </c>
      <c r="S19" s="79">
        <f>'14'!S13/'14'!S18</f>
        <v>2.444449554099559</v>
      </c>
      <c r="T19" s="79">
        <f>'14'!S13/'14'!S18</f>
        <v>2.444449554099559</v>
      </c>
      <c r="U19" s="79">
        <f>'14'!T13/'14'!T18</f>
        <v>3.9936853062252746</v>
      </c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</row>
    <row r="20" spans="1:89" ht="13.5" thickBot="1">
      <c r="A20" s="72" t="s">
        <v>49</v>
      </c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</row>
    <row r="21" spans="1:89" ht="13.5" thickBot="1">
      <c r="A21" s="80" t="s">
        <v>55</v>
      </c>
      <c r="B21" s="74">
        <f>'14'!B24/'14'!B13</f>
        <v>0.11192905604331863</v>
      </c>
      <c r="C21" s="74">
        <f>'14'!C24/'14'!C13</f>
        <v>0.2733932749200011</v>
      </c>
      <c r="D21" s="74">
        <f>'14'!D24/'14'!D13</f>
        <v>0.3187072183316982</v>
      </c>
      <c r="E21" s="74">
        <f>'14'!E24/'14'!E13</f>
        <v>0.37929630175749024</v>
      </c>
      <c r="F21" s="74">
        <f>'14'!F24/'14'!F13</f>
        <v>0.6330368316543054</v>
      </c>
      <c r="G21" s="74">
        <f>'14'!G24/'14'!G13</f>
        <v>0.39881495683932794</v>
      </c>
      <c r="H21" s="74">
        <f>'14'!H24/'14'!H13</f>
        <v>0.8045935656374477</v>
      </c>
      <c r="I21" s="74">
        <f>'14'!I24/'14'!I13</f>
        <v>0.6831406529674929</v>
      </c>
      <c r="J21" s="74">
        <f>'14'!J24/'14'!J13</f>
        <v>0.9927845098416362</v>
      </c>
      <c r="K21" s="74">
        <f>'14'!K24/'14'!K13</f>
        <v>0.8513529166104347</v>
      </c>
      <c r="L21" s="74">
        <f>'14'!L24/'14'!L13</f>
        <v>0.05809020955149967</v>
      </c>
      <c r="M21" s="74">
        <f>'14'!M24/'14'!M13</f>
        <v>-0.6175459618950512</v>
      </c>
      <c r="N21" s="74">
        <f>'14'!N24/'14'!N13</f>
        <v>-0.01609172031480119</v>
      </c>
      <c r="O21" s="74">
        <f>'14'!O24/'14'!O13</f>
        <v>-0.07216922118289487</v>
      </c>
      <c r="P21" s="74">
        <f>'14'!P24/'14'!P13</f>
        <v>0.7933064383443756</v>
      </c>
      <c r="Q21" s="74">
        <f>'14'!Q24/'14'!Q13</f>
        <v>0.7546976847971367</v>
      </c>
      <c r="R21" s="74" t="e">
        <f>'14'!R24/'14'!R13</f>
        <v>#DIV/0!</v>
      </c>
      <c r="S21" s="74">
        <f>'14'!S24/'14'!S13</f>
        <v>0.5909097892623539</v>
      </c>
      <c r="T21" s="74">
        <f>'14'!S24/'14'!S13</f>
        <v>0.5909097892623539</v>
      </c>
      <c r="U21" s="74">
        <f>'14'!T24/'14'!T13</f>
        <v>0.7496047076014676</v>
      </c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</row>
    <row r="22" spans="1:89" ht="13.5" thickBot="1">
      <c r="A22" s="72" t="s">
        <v>50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</row>
    <row r="23" spans="1:89" ht="12.75">
      <c r="A23" s="75" t="s">
        <v>59</v>
      </c>
      <c r="B23" s="70">
        <f>'14'!B36/'14'!B28</f>
        <v>-0.019460220075285282</v>
      </c>
      <c r="C23" s="70">
        <f>'14'!C36/'14'!C28</f>
        <v>-0.06139154610955549</v>
      </c>
      <c r="D23" s="70">
        <f>'14'!D36/'14'!D28</f>
        <v>-0.008889059422402987</v>
      </c>
      <c r="E23" s="70">
        <f>'14'!E36/'14'!E28</f>
        <v>-0.06839489217566419</v>
      </c>
      <c r="F23" s="70">
        <f>'14'!F36/'14'!F28</f>
        <v>0.03357420316864595</v>
      </c>
      <c r="G23" s="70">
        <f>'14'!G36/'14'!G28</f>
        <v>-0.007729398400677093</v>
      </c>
      <c r="H23" s="70">
        <f>'14'!H36/'14'!H28</f>
        <v>0.044679482418931375</v>
      </c>
      <c r="I23" s="70">
        <f>'14'!I36/'14'!I28</f>
        <v>-0.001449238861009493</v>
      </c>
      <c r="J23" s="70">
        <f>'14'!J36/'14'!J28</f>
        <v>0.3367924260085861</v>
      </c>
      <c r="K23" s="70">
        <f>'14'!K36/'14'!K28</f>
        <v>0.10746317826797161</v>
      </c>
      <c r="L23" s="70">
        <f>'14'!L36/'14'!L28</f>
        <v>-0.10492694085000094</v>
      </c>
      <c r="M23" s="70">
        <f>'14'!M36/'14'!M28</f>
        <v>-0.09862985722402616</v>
      </c>
      <c r="N23" s="70">
        <f>'14'!N36/'14'!N28</f>
        <v>-0.03741201817234246</v>
      </c>
      <c r="O23" s="70">
        <f>'14'!O36/'14'!O28</f>
        <v>-0.054823972050524056</v>
      </c>
      <c r="P23" s="70">
        <f>'14'!P36/'14'!P28</f>
        <v>-0.02345603761115278</v>
      </c>
      <c r="Q23" s="70">
        <f>'14'!Q36/'14'!Q28</f>
        <v>-0.05650974204447445</v>
      </c>
      <c r="R23" s="70" t="e">
        <f>'14'!R36/'14'!R28</f>
        <v>#DIV/0!</v>
      </c>
      <c r="S23" s="70">
        <f>'14'!S36/'14'!S28</f>
        <v>-0.15628279250995364</v>
      </c>
      <c r="T23" s="70">
        <f>'14'!S36/'14'!S28</f>
        <v>-0.15628279250995364</v>
      </c>
      <c r="U23" s="70">
        <f>'14'!T36/'14'!T28</f>
        <v>0.06633696233631955</v>
      </c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</row>
    <row r="24" spans="1:89" ht="13.5" thickBot="1">
      <c r="A24" s="78" t="s">
        <v>51</v>
      </c>
      <c r="B24" s="79">
        <f>'14'!B37/'14'!B30</f>
        <v>-0.023381657453762045</v>
      </c>
      <c r="C24" s="79">
        <f>'14'!C37/'14'!C30</f>
        <v>0.030238949599897084</v>
      </c>
      <c r="D24" s="79">
        <f>'14'!D37/'14'!D30</f>
        <v>-0.003148403129932498</v>
      </c>
      <c r="E24" s="79">
        <f>'14'!E37/'14'!E30</f>
        <v>0.08944698933513251</v>
      </c>
      <c r="F24" s="79">
        <f>'14'!F37/'14'!F30</f>
        <v>0.002188844978557706</v>
      </c>
      <c r="G24" s="79">
        <f>'14'!G37/'14'!G30</f>
        <v>-0.009278269124949765</v>
      </c>
      <c r="H24" s="79">
        <f>'14'!H37/'14'!H30</f>
        <v>0.04367128817691556</v>
      </c>
      <c r="I24" s="79">
        <f>'14'!I37/'14'!I30</f>
        <v>0.0008184199039720645</v>
      </c>
      <c r="J24" s="79">
        <f>'14'!J37/'14'!J30</f>
        <v>0.3367924260085861</v>
      </c>
      <c r="K24" s="79">
        <f>'14'!K37/'14'!K30</f>
        <v>0.09449315742030648</v>
      </c>
      <c r="L24" s="79">
        <f>'14'!L37/'14'!L30</f>
        <v>-0.12253284584915825</v>
      </c>
      <c r="M24" s="79">
        <f>'14'!M37/'14'!M30</f>
        <v>-0.12593898856838143</v>
      </c>
      <c r="N24" s="79">
        <f>'14'!N37/'14'!N30</f>
        <v>-0.041188521348456804</v>
      </c>
      <c r="O24" s="79">
        <f>'14'!O37/'14'!O30</f>
        <v>-0.04910851324735116</v>
      </c>
      <c r="P24" s="79">
        <f>'14'!P37/'14'!P30</f>
        <v>-0.06957450601870986</v>
      </c>
      <c r="Q24" s="79">
        <f>'14'!Q37/'14'!Q30</f>
        <v>-0.09844541466637509</v>
      </c>
      <c r="R24" s="79" t="e">
        <f>'14'!R37/'14'!R30</f>
        <v>#DIV/0!</v>
      </c>
      <c r="S24" s="79">
        <f>'14'!S37/'14'!S30</f>
        <v>0.18898754959434036</v>
      </c>
      <c r="T24" s="79">
        <f>'14'!S37/'14'!S30</f>
        <v>0.18898754959434036</v>
      </c>
      <c r="U24" s="79">
        <f>'14'!T37/'14'!T30</f>
        <v>0.042216264664589165</v>
      </c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</row>
    <row r="25" spans="1:89" ht="13.5" thickBot="1">
      <c r="A25" s="72" t="s">
        <v>52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</row>
    <row r="26" spans="1:89" ht="13.5" thickBot="1">
      <c r="A26" s="83" t="s">
        <v>53</v>
      </c>
      <c r="B26" s="84">
        <f>'14'!B10-'14'!B15</f>
        <v>17477027</v>
      </c>
      <c r="C26" s="84">
        <f>'14'!C10-'14'!C15</f>
        <v>-19031674</v>
      </c>
      <c r="D26" s="84">
        <f>'14'!D10-'14'!D15</f>
        <v>27662000</v>
      </c>
      <c r="E26" s="84">
        <f>'14'!E10-'14'!E15</f>
        <v>-3190000</v>
      </c>
      <c r="F26" s="84">
        <f>'14'!F10-'14'!F15</f>
        <v>2385854</v>
      </c>
      <c r="G26" s="84">
        <f>'14'!G10-'14'!G15</f>
        <v>-61558</v>
      </c>
      <c r="H26" s="84">
        <f>'14'!H10-'14'!H15</f>
        <v>1475750</v>
      </c>
      <c r="I26" s="84">
        <f>'14'!I10-'14'!I15</f>
        <v>1468200</v>
      </c>
      <c r="J26" s="84">
        <f>'14'!J10-'14'!J15</f>
        <v>681981</v>
      </c>
      <c r="K26" s="84">
        <f>'14'!K10-'14'!K15</f>
        <v>791134</v>
      </c>
      <c r="L26" s="84">
        <f>'14'!L10-'14'!L15</f>
        <v>352530</v>
      </c>
      <c r="M26" s="84">
        <f>'14'!M10-'14'!M15</f>
        <v>-1725292</v>
      </c>
      <c r="N26" s="84">
        <f>'14'!N10-'14'!N15</f>
        <v>-24506558</v>
      </c>
      <c r="O26" s="84">
        <f>'14'!O10-'14'!O15</f>
        <v>-22989255</v>
      </c>
      <c r="P26" s="84">
        <f>'14'!P10-'14'!P15</f>
        <v>8430456</v>
      </c>
      <c r="Q26" s="84">
        <f>'14'!Q10-'14'!Q15</f>
        <v>3429512</v>
      </c>
      <c r="R26" s="84">
        <f>'14'!R10-'14'!R15</f>
        <v>0</v>
      </c>
      <c r="S26" s="84">
        <f>'14'!S10-'14'!S15</f>
        <v>2430824</v>
      </c>
      <c r="T26" s="84">
        <f>'14'!S10-'14'!S15</f>
        <v>2430824</v>
      </c>
      <c r="U26" s="84">
        <f>'14'!T10-'14'!T15</f>
        <v>995014</v>
      </c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</row>
    <row r="27" ht="12.75">
      <c r="A27" s="82" t="s">
        <v>94</v>
      </c>
    </row>
  </sheetData>
  <sheetProtection/>
  <mergeCells count="11">
    <mergeCell ref="T5:U5"/>
    <mergeCell ref="B5:C5"/>
    <mergeCell ref="D5:E5"/>
    <mergeCell ref="F5:G5"/>
    <mergeCell ref="H5:I5"/>
    <mergeCell ref="A5:A6"/>
    <mergeCell ref="J5:K5"/>
    <mergeCell ref="L5:M5"/>
    <mergeCell ref="N5:O5"/>
    <mergeCell ref="P5:Q5"/>
    <mergeCell ref="R5:S5"/>
  </mergeCells>
  <printOptions/>
  <pageMargins left="1.16" right="0.65" top="1.3779527559055118" bottom="0.7874015748031497" header="0" footer="0"/>
  <pageSetup fitToHeight="2" fitToWidth="2" horizontalDpi="300" verticalDpi="300" orientation="landscape" scale="90" r:id="rId3"/>
  <legacyDrawing r:id="rId2"/>
  <oleObjects>
    <oleObject progId="MSPhotoEd.3" shapeId="137968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CG200"/>
  <sheetViews>
    <sheetView zoomScalePageLayoutView="0" workbookViewId="0" topLeftCell="A1">
      <selection activeCell="B24" sqref="B24:C24"/>
    </sheetView>
  </sheetViews>
  <sheetFormatPr defaultColWidth="11.421875" defaultRowHeight="12.75"/>
  <cols>
    <col min="1" max="1" width="29.421875" style="0" customWidth="1"/>
    <col min="2" max="3" width="13.7109375" style="0" customWidth="1"/>
    <col min="4" max="5" width="12.00390625" style="0" customWidth="1"/>
    <col min="6" max="11" width="12.8515625" style="0" customWidth="1"/>
  </cols>
  <sheetData>
    <row r="1" spans="1:81" ht="12.75">
      <c r="A1" s="114" t="s">
        <v>81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M1" s="5"/>
      <c r="N1" s="5"/>
      <c r="O1" s="5"/>
      <c r="P1" s="5"/>
      <c r="BM1" s="3"/>
      <c r="BN1" s="3"/>
      <c r="CC1" s="13"/>
    </row>
    <row r="2" spans="1:81" ht="12.75">
      <c r="A2" s="115" t="s">
        <v>71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M2" s="5"/>
      <c r="N2" s="5"/>
      <c r="O2" s="5"/>
      <c r="P2" s="5"/>
      <c r="BM2" s="3"/>
      <c r="BN2" s="3"/>
      <c r="CC2" s="13"/>
    </row>
    <row r="3" spans="1:81" ht="12.75">
      <c r="A3" s="114" t="s">
        <v>72</v>
      </c>
      <c r="B3" s="157"/>
      <c r="C3" s="157"/>
      <c r="D3" s="112"/>
      <c r="E3" s="112"/>
      <c r="F3" s="112"/>
      <c r="G3" s="112"/>
      <c r="H3" s="112"/>
      <c r="I3" s="112"/>
      <c r="J3" s="112"/>
      <c r="K3" s="112"/>
      <c r="M3" s="5"/>
      <c r="N3" s="5"/>
      <c r="O3" s="5"/>
      <c r="P3" s="5"/>
      <c r="BM3" s="3"/>
      <c r="BN3" s="3"/>
      <c r="CC3" s="13"/>
    </row>
    <row r="4" spans="1:81" ht="12.75">
      <c r="A4" s="114" t="s">
        <v>125</v>
      </c>
      <c r="B4" s="157"/>
      <c r="C4" s="157"/>
      <c r="D4" s="112"/>
      <c r="E4" s="112"/>
      <c r="F4" s="112"/>
      <c r="G4" s="112"/>
      <c r="H4" s="112"/>
      <c r="I4" s="112"/>
      <c r="J4" s="112"/>
      <c r="K4" s="112"/>
      <c r="M4" s="5"/>
      <c r="N4" s="5"/>
      <c r="O4" s="5"/>
      <c r="P4" s="5"/>
      <c r="BM4" s="3"/>
      <c r="BN4" s="3"/>
      <c r="CC4" s="13"/>
    </row>
    <row r="5" spans="1:81" ht="13.5" thickBot="1">
      <c r="A5" s="114" t="s">
        <v>68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M5" s="5"/>
      <c r="N5" s="5"/>
      <c r="O5" s="5"/>
      <c r="P5" s="5"/>
      <c r="BM5" s="3"/>
      <c r="BN5" s="3"/>
      <c r="CC5" s="13"/>
    </row>
    <row r="6" spans="1:85" s="2" customFormat="1" ht="16.5" customHeight="1" thickBot="1">
      <c r="A6" s="355" t="s">
        <v>56</v>
      </c>
      <c r="B6" s="353" t="s">
        <v>9</v>
      </c>
      <c r="C6" s="354"/>
      <c r="D6" s="353" t="s">
        <v>65</v>
      </c>
      <c r="E6" s="354"/>
      <c r="F6" s="353" t="s">
        <v>64</v>
      </c>
      <c r="G6" s="354"/>
      <c r="H6" s="353" t="s">
        <v>121</v>
      </c>
      <c r="I6" s="354"/>
      <c r="J6" s="353" t="s">
        <v>67</v>
      </c>
      <c r="K6" s="354"/>
      <c r="L6" s="179"/>
      <c r="M6" s="358"/>
      <c r="N6" s="358"/>
      <c r="O6" s="357"/>
      <c r="P6" s="357"/>
      <c r="Q6" s="358"/>
      <c r="R6" s="358"/>
      <c r="S6" s="357"/>
      <c r="T6" s="357"/>
      <c r="U6" s="363"/>
      <c r="V6" s="363"/>
      <c r="W6" s="358"/>
      <c r="X6" s="358"/>
      <c r="Y6" s="361"/>
      <c r="Z6" s="361"/>
      <c r="AA6" s="362"/>
      <c r="AB6" s="362"/>
      <c r="AC6" s="361"/>
      <c r="AD6" s="361"/>
      <c r="AE6" s="360"/>
      <c r="AF6" s="360"/>
      <c r="AG6" s="361"/>
      <c r="AH6" s="361"/>
      <c r="AI6" s="361"/>
      <c r="AJ6" s="361"/>
      <c r="AK6" s="361"/>
      <c r="AL6" s="361"/>
      <c r="AM6" s="358"/>
      <c r="AN6" s="358"/>
      <c r="AO6" s="358"/>
      <c r="AP6" s="358"/>
      <c r="AQ6" s="358"/>
      <c r="AR6" s="358"/>
      <c r="AS6" s="358"/>
      <c r="AT6" s="358"/>
      <c r="AU6" s="360"/>
      <c r="AV6" s="360"/>
      <c r="AW6" s="361"/>
      <c r="AX6" s="361"/>
      <c r="AY6" s="360"/>
      <c r="AZ6" s="360"/>
      <c r="BA6" s="364"/>
      <c r="BB6" s="364"/>
      <c r="BC6" s="361"/>
      <c r="BD6" s="361"/>
      <c r="BE6" s="361"/>
      <c r="BF6" s="361"/>
      <c r="BG6" s="359"/>
      <c r="BH6" s="359"/>
      <c r="BI6" s="359"/>
      <c r="BJ6" s="359"/>
      <c r="BK6" s="362"/>
      <c r="BL6" s="362"/>
      <c r="BM6" s="358"/>
      <c r="BN6" s="358"/>
      <c r="BO6" s="359"/>
      <c r="BP6" s="359"/>
      <c r="BQ6" s="359"/>
      <c r="BR6" s="359"/>
      <c r="BS6" s="359"/>
      <c r="BT6" s="359"/>
      <c r="BU6" s="359"/>
      <c r="BV6" s="359"/>
      <c r="BW6" s="359"/>
      <c r="BX6" s="359"/>
      <c r="BY6" s="359"/>
      <c r="BZ6" s="359"/>
      <c r="CA6" s="359"/>
      <c r="CB6" s="359"/>
      <c r="CC6" s="359"/>
      <c r="CD6" s="359"/>
      <c r="CE6" s="359"/>
      <c r="CF6" s="359"/>
      <c r="CG6" s="51"/>
    </row>
    <row r="7" spans="1:85" s="2" customFormat="1" ht="13.5" thickBot="1">
      <c r="A7" s="356"/>
      <c r="B7" s="208">
        <v>40695</v>
      </c>
      <c r="C7" s="208">
        <v>41061</v>
      </c>
      <c r="D7" s="208">
        <v>40695</v>
      </c>
      <c r="E7" s="208">
        <v>41061</v>
      </c>
      <c r="F7" s="208">
        <v>40695</v>
      </c>
      <c r="G7" s="208">
        <v>41061</v>
      </c>
      <c r="H7" s="208">
        <v>40695</v>
      </c>
      <c r="I7" s="208">
        <v>41061</v>
      </c>
      <c r="J7" s="208">
        <v>40695</v>
      </c>
      <c r="K7" s="208">
        <v>41061</v>
      </c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51"/>
    </row>
    <row r="8" spans="1:85" s="2" customFormat="1" ht="15" customHeight="1">
      <c r="A8" s="116" t="s">
        <v>11</v>
      </c>
      <c r="B8" s="256"/>
      <c r="C8" s="256"/>
      <c r="D8" s="117"/>
      <c r="E8" s="117"/>
      <c r="F8" s="117"/>
      <c r="G8" s="117"/>
      <c r="H8" s="117"/>
      <c r="I8" s="117"/>
      <c r="J8" s="117"/>
      <c r="K8" s="117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51"/>
    </row>
    <row r="9" spans="1:85" s="2" customFormat="1" ht="15" customHeight="1">
      <c r="A9" s="118" t="s">
        <v>12</v>
      </c>
      <c r="B9" s="166"/>
      <c r="C9" s="166"/>
      <c r="D9" s="119"/>
      <c r="E9" s="119"/>
      <c r="F9" s="119"/>
      <c r="G9" s="119"/>
      <c r="H9" s="119"/>
      <c r="I9" s="119"/>
      <c r="J9" s="119"/>
      <c r="K9" s="119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51"/>
    </row>
    <row r="10" spans="1:85" ht="15" customHeight="1">
      <c r="A10" s="120" t="s">
        <v>13</v>
      </c>
      <c r="B10" s="121">
        <f>+D10+F10+H10+J10</f>
        <v>2207487102</v>
      </c>
      <c r="C10" s="121">
        <f>+E10+G10+I10+K10</f>
        <v>1855521580</v>
      </c>
      <c r="D10" s="121">
        <f>+4!B10</f>
        <v>1287374893</v>
      </c>
      <c r="E10" s="121">
        <f>+4!C10</f>
        <v>1470784352</v>
      </c>
      <c r="F10" s="121">
        <f>+6!B10</f>
        <v>23919353</v>
      </c>
      <c r="G10" s="121">
        <f>+6!C10</f>
        <v>21748812</v>
      </c>
      <c r="H10" s="121">
        <f>+8!D10</f>
        <v>32830677</v>
      </c>
      <c r="I10" s="121">
        <f>+8!E10</f>
        <v>23183647</v>
      </c>
      <c r="J10" s="121">
        <f>+'14'!B10</f>
        <v>863362179</v>
      </c>
      <c r="K10" s="121">
        <f>+'14'!C10</f>
        <v>339804769</v>
      </c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5"/>
    </row>
    <row r="11" spans="1:85" ht="15" customHeight="1">
      <c r="A11" s="120" t="s">
        <v>14</v>
      </c>
      <c r="B11" s="121">
        <f>+D11+F11+J11</f>
        <v>1638337386</v>
      </c>
      <c r="C11" s="121">
        <f aca="true" t="shared" si="0" ref="C11:C36">+E11+G11+I11+K11</f>
        <v>2070245664</v>
      </c>
      <c r="D11" s="121">
        <f>+4!B11</f>
        <v>1571752979</v>
      </c>
      <c r="E11" s="121">
        <f>+4!C11</f>
        <v>1909733142</v>
      </c>
      <c r="F11" s="121">
        <f>+6!B11</f>
        <v>40085916</v>
      </c>
      <c r="G11" s="121">
        <f>+6!C11</f>
        <v>40195590</v>
      </c>
      <c r="H11" s="121">
        <f>+8!D11</f>
        <v>63694719</v>
      </c>
      <c r="I11" s="121">
        <f>+8!E11</f>
        <v>88075277</v>
      </c>
      <c r="J11" s="121">
        <f>+'14'!B11</f>
        <v>26498491</v>
      </c>
      <c r="K11" s="121">
        <f>+'14'!C11</f>
        <v>32241655</v>
      </c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5"/>
    </row>
    <row r="12" spans="1:85" ht="15" customHeight="1" thickBot="1">
      <c r="A12" s="133" t="s">
        <v>15</v>
      </c>
      <c r="B12" s="312">
        <f>+D12+F12+J12</f>
        <v>1744983128</v>
      </c>
      <c r="C12" s="312">
        <f t="shared" si="0"/>
        <v>1848578963</v>
      </c>
      <c r="D12" s="312">
        <f>+4!B12</f>
        <v>1550848847</v>
      </c>
      <c r="E12" s="312">
        <f>+4!C12</f>
        <v>1627634129</v>
      </c>
      <c r="F12" s="312">
        <f>+6!B12</f>
        <v>42347946</v>
      </c>
      <c r="G12" s="312">
        <f>+6!C12</f>
        <v>60304548</v>
      </c>
      <c r="H12" s="312">
        <f>+8!D12</f>
        <v>22486387</v>
      </c>
      <c r="I12" s="312">
        <f>+8!E12</f>
        <v>29934475</v>
      </c>
      <c r="J12" s="312">
        <f>+'14'!B12</f>
        <v>151786335</v>
      </c>
      <c r="K12" s="312">
        <f>+'14'!C12</f>
        <v>130705811</v>
      </c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5"/>
    </row>
    <row r="13" spans="1:85" s="2" customFormat="1" ht="15" customHeight="1" thickBot="1">
      <c r="A13" s="314" t="s">
        <v>16</v>
      </c>
      <c r="B13" s="315">
        <f>SUM(B10:B12)</f>
        <v>5590807616</v>
      </c>
      <c r="C13" s="315">
        <f t="shared" si="0"/>
        <v>5774346207</v>
      </c>
      <c r="D13" s="315">
        <f aca="true" t="shared" si="1" ref="D13:K13">SUM(D10:D12)</f>
        <v>4409976719</v>
      </c>
      <c r="E13" s="315">
        <f t="shared" si="1"/>
        <v>5008151623</v>
      </c>
      <c r="F13" s="315">
        <f t="shared" si="1"/>
        <v>106353215</v>
      </c>
      <c r="G13" s="315">
        <f t="shared" si="1"/>
        <v>122248950</v>
      </c>
      <c r="H13" s="315">
        <f>SUM(H10:H12)</f>
        <v>119011783</v>
      </c>
      <c r="I13" s="315">
        <f>SUM(I10:I12)</f>
        <v>141193399</v>
      </c>
      <c r="J13" s="315">
        <f t="shared" si="1"/>
        <v>1041647005</v>
      </c>
      <c r="K13" s="315">
        <f t="shared" si="1"/>
        <v>502752235</v>
      </c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51"/>
    </row>
    <row r="14" spans="1:85" ht="15" customHeight="1">
      <c r="A14" s="116" t="s">
        <v>17</v>
      </c>
      <c r="B14" s="313"/>
      <c r="C14" s="313"/>
      <c r="D14" s="313"/>
      <c r="E14" s="313"/>
      <c r="F14" s="313"/>
      <c r="G14" s="313"/>
      <c r="H14" s="313"/>
      <c r="I14" s="313"/>
      <c r="J14" s="313"/>
      <c r="K14" s="313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25"/>
    </row>
    <row r="15" spans="1:85" ht="15" customHeight="1">
      <c r="A15" s="120" t="s">
        <v>18</v>
      </c>
      <c r="B15" s="121">
        <f>+D15+F15+J15</f>
        <v>2745167215</v>
      </c>
      <c r="C15" s="121">
        <f t="shared" si="0"/>
        <v>2423261146</v>
      </c>
      <c r="D15" s="121">
        <f>+4!B15</f>
        <v>1875359165</v>
      </c>
      <c r="E15" s="121">
        <f>+4!C15</f>
        <v>2013416428</v>
      </c>
      <c r="F15" s="121">
        <f>+6!B15</f>
        <v>23922898</v>
      </c>
      <c r="G15" s="121">
        <f>+6!C15</f>
        <v>29906595</v>
      </c>
      <c r="H15" s="121">
        <f>+8!D15</f>
        <v>38094509</v>
      </c>
      <c r="I15" s="121">
        <f>+8!E15</f>
        <v>21101680</v>
      </c>
      <c r="J15" s="121">
        <f>+'14'!B15</f>
        <v>845885152</v>
      </c>
      <c r="K15" s="121">
        <f>+'14'!C15</f>
        <v>358836443</v>
      </c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5"/>
    </row>
    <row r="16" spans="1:85" ht="15" customHeight="1">
      <c r="A16" s="122" t="s">
        <v>19</v>
      </c>
      <c r="B16" s="121">
        <f>+D16+F16+J16</f>
        <v>2106193449</v>
      </c>
      <c r="C16" s="121">
        <f t="shared" si="0"/>
        <v>2139114588</v>
      </c>
      <c r="D16" s="121">
        <f>+4!B16</f>
        <v>1962702618</v>
      </c>
      <c r="E16" s="121">
        <f>+4!C16</f>
        <v>2023951000</v>
      </c>
      <c r="F16" s="121">
        <f>+6!B16</f>
        <v>64320855</v>
      </c>
      <c r="G16" s="121">
        <f>+6!C16</f>
        <v>56595876</v>
      </c>
      <c r="H16" s="121">
        <f>+8!D16</f>
        <v>99371828</v>
      </c>
      <c r="I16" s="121">
        <f>+8!E16</f>
        <v>52194963</v>
      </c>
      <c r="J16" s="121">
        <f>+'14'!B16</f>
        <v>79169976</v>
      </c>
      <c r="K16" s="121">
        <f>+'14'!C16</f>
        <v>6372749</v>
      </c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5"/>
    </row>
    <row r="17" spans="1:85" ht="15" customHeight="1" thickBot="1">
      <c r="A17" s="133" t="s">
        <v>20</v>
      </c>
      <c r="B17" s="312">
        <f>+D17+F17+J17</f>
        <v>1329</v>
      </c>
      <c r="C17" s="312">
        <f t="shared" si="0"/>
        <v>93925005</v>
      </c>
      <c r="D17" s="312">
        <f>+4!B17</f>
        <v>0</v>
      </c>
      <c r="E17" s="312">
        <f>+4!C17</f>
        <v>36439687</v>
      </c>
      <c r="F17" s="312">
        <f>+6!B17</f>
        <v>0</v>
      </c>
      <c r="G17" s="312">
        <f>+6!C17</f>
        <v>931658</v>
      </c>
      <c r="H17" s="312">
        <f>+8!D17</f>
        <v>61543686</v>
      </c>
      <c r="I17" s="312">
        <f>+8!E17</f>
        <v>56459699</v>
      </c>
      <c r="J17" s="312">
        <f>+'14'!B17</f>
        <v>1329</v>
      </c>
      <c r="K17" s="312">
        <f>+'14'!C17</f>
        <v>93961</v>
      </c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5"/>
    </row>
    <row r="18" spans="1:85" s="4" customFormat="1" ht="15" customHeight="1" thickBot="1">
      <c r="A18" s="314" t="s">
        <v>21</v>
      </c>
      <c r="B18" s="316">
        <f>SUM(B15:B17)</f>
        <v>4851361993</v>
      </c>
      <c r="C18" s="315">
        <f t="shared" si="0"/>
        <v>4656300739</v>
      </c>
      <c r="D18" s="316">
        <f aca="true" t="shared" si="2" ref="D18:K18">SUM(D15:D17)</f>
        <v>3838061783</v>
      </c>
      <c r="E18" s="316">
        <f t="shared" si="2"/>
        <v>4073807115</v>
      </c>
      <c r="F18" s="316">
        <f t="shared" si="2"/>
        <v>88243753</v>
      </c>
      <c r="G18" s="316">
        <f t="shared" si="2"/>
        <v>87434129</v>
      </c>
      <c r="H18" s="316">
        <f>SUM(H15:H17)</f>
        <v>199010023</v>
      </c>
      <c r="I18" s="316">
        <f>SUM(I15:I17)</f>
        <v>129756342</v>
      </c>
      <c r="J18" s="316">
        <f t="shared" si="2"/>
        <v>925056457</v>
      </c>
      <c r="K18" s="316">
        <f t="shared" si="2"/>
        <v>365303153</v>
      </c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52"/>
    </row>
    <row r="19" spans="1:85" ht="15" customHeight="1">
      <c r="A19" s="116" t="s">
        <v>22</v>
      </c>
      <c r="B19" s="313"/>
      <c r="C19" s="313"/>
      <c r="D19" s="313"/>
      <c r="E19" s="313"/>
      <c r="F19" s="313"/>
      <c r="G19" s="313"/>
      <c r="H19" s="313"/>
      <c r="I19" s="313"/>
      <c r="J19" s="313"/>
      <c r="K19" s="313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25"/>
    </row>
    <row r="20" spans="1:85" ht="15" customHeight="1">
      <c r="A20" s="120" t="s">
        <v>23</v>
      </c>
      <c r="B20" s="121">
        <f>+D20+F20+J20</f>
        <v>51093690</v>
      </c>
      <c r="C20" s="121">
        <f t="shared" si="0"/>
        <v>48338260</v>
      </c>
      <c r="D20" s="121">
        <f>+4!B20</f>
        <v>21171015</v>
      </c>
      <c r="E20" s="121">
        <f>+4!C20</f>
        <v>14188478</v>
      </c>
      <c r="F20" s="121">
        <f>+6!B20</f>
        <v>8792220</v>
      </c>
      <c r="G20" s="121">
        <f>+6!C20</f>
        <v>10376640</v>
      </c>
      <c r="H20" s="121">
        <f>+8!D20</f>
        <v>1000050</v>
      </c>
      <c r="I20" s="121">
        <f>+8!E20</f>
        <v>396000</v>
      </c>
      <c r="J20" s="121">
        <f>+'14'!B20</f>
        <v>21130455</v>
      </c>
      <c r="K20" s="121">
        <f>+'14'!C20</f>
        <v>23377142</v>
      </c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5"/>
    </row>
    <row r="21" spans="1:85" s="195" customFormat="1" ht="15" customHeight="1">
      <c r="A21" s="191" t="s">
        <v>24</v>
      </c>
      <c r="B21" s="166">
        <f>+D21+F21+J21</f>
        <v>84562997</v>
      </c>
      <c r="C21" s="166">
        <f t="shared" si="0"/>
        <v>74399041</v>
      </c>
      <c r="D21" s="166">
        <f>+4!B21</f>
        <v>93472622</v>
      </c>
      <c r="E21" s="166">
        <f>+4!C21</f>
        <v>58108873</v>
      </c>
      <c r="F21" s="166">
        <f>+6!B21</f>
        <v>2291149</v>
      </c>
      <c r="G21" s="166">
        <f>+6!C21</f>
        <v>1648071</v>
      </c>
      <c r="H21" s="192">
        <f>+8!D21</f>
        <v>-8830473</v>
      </c>
      <c r="I21" s="192">
        <f>+8!E21</f>
        <v>-3216047</v>
      </c>
      <c r="J21" s="192">
        <f>+'14'!B21</f>
        <v>-11200774</v>
      </c>
      <c r="K21" s="166">
        <f>+'14'!C21</f>
        <v>17858144</v>
      </c>
      <c r="L21" s="193"/>
      <c r="M21" s="193"/>
      <c r="N21" s="193"/>
      <c r="O21" s="193"/>
      <c r="P21" s="193"/>
      <c r="Q21" s="193"/>
      <c r="R21" s="193"/>
      <c r="S21" s="193"/>
      <c r="T21" s="193"/>
      <c r="U21" s="193"/>
      <c r="V21" s="193"/>
      <c r="W21" s="193"/>
      <c r="X21" s="193"/>
      <c r="Y21" s="193"/>
      <c r="Z21" s="193"/>
      <c r="AA21" s="193"/>
      <c r="AB21" s="193"/>
      <c r="AC21" s="193"/>
      <c r="AD21" s="193"/>
      <c r="AE21" s="193"/>
      <c r="AF21" s="193"/>
      <c r="AG21" s="193"/>
      <c r="AH21" s="193"/>
      <c r="AI21" s="193"/>
      <c r="AJ21" s="193"/>
      <c r="AK21" s="193"/>
      <c r="AL21" s="193"/>
      <c r="AM21" s="193"/>
      <c r="AN21" s="193"/>
      <c r="AO21" s="193"/>
      <c r="AP21" s="193"/>
      <c r="AQ21" s="193"/>
      <c r="AR21" s="193"/>
      <c r="AS21" s="193"/>
      <c r="AT21" s="193"/>
      <c r="AU21" s="193"/>
      <c r="AV21" s="193"/>
      <c r="AW21" s="193"/>
      <c r="AX21" s="193"/>
      <c r="AY21" s="193"/>
      <c r="AZ21" s="193"/>
      <c r="BA21" s="193"/>
      <c r="BB21" s="193"/>
      <c r="BC21" s="193"/>
      <c r="BD21" s="193"/>
      <c r="BE21" s="193"/>
      <c r="BF21" s="193"/>
      <c r="BG21" s="193"/>
      <c r="BH21" s="193"/>
      <c r="BI21" s="193"/>
      <c r="BJ21" s="193"/>
      <c r="BK21" s="193"/>
      <c r="BL21" s="193"/>
      <c r="BM21" s="193"/>
      <c r="BN21" s="193"/>
      <c r="BO21" s="193"/>
      <c r="BP21" s="193"/>
      <c r="BQ21" s="193"/>
      <c r="BR21" s="193"/>
      <c r="BS21" s="193"/>
      <c r="BT21" s="193"/>
      <c r="BU21" s="193"/>
      <c r="BV21" s="193"/>
      <c r="BW21" s="193"/>
      <c r="BX21" s="193"/>
      <c r="BY21" s="193"/>
      <c r="BZ21" s="193"/>
      <c r="CA21" s="193"/>
      <c r="CB21" s="193"/>
      <c r="CC21" s="193"/>
      <c r="CD21" s="193"/>
      <c r="CE21" s="193"/>
      <c r="CF21" s="193"/>
      <c r="CG21" s="194"/>
    </row>
    <row r="22" spans="1:85" ht="15" customHeight="1">
      <c r="A22" s="120" t="s">
        <v>25</v>
      </c>
      <c r="B22" s="192">
        <f>+D22+F22+J22</f>
        <v>-165079714</v>
      </c>
      <c r="C22" s="192">
        <f t="shared" si="0"/>
        <v>-131007219</v>
      </c>
      <c r="D22" s="192">
        <f>+4!B22</f>
        <v>-122155459</v>
      </c>
      <c r="E22" s="192">
        <f>+4!C22</f>
        <v>-85899738</v>
      </c>
      <c r="F22" s="192">
        <f>+6!B22</f>
        <v>-4070280</v>
      </c>
      <c r="G22" s="166">
        <f>+6!C22</f>
        <v>732465</v>
      </c>
      <c r="H22" s="192">
        <f>+8!D22</f>
        <v>-86452170</v>
      </c>
      <c r="I22" s="192">
        <f>+8!E22</f>
        <v>-78973</v>
      </c>
      <c r="J22" s="192">
        <f>+'14'!B22</f>
        <v>-38853975</v>
      </c>
      <c r="K22" s="192">
        <f>+'14'!C22</f>
        <v>-45760973</v>
      </c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5"/>
    </row>
    <row r="23" spans="1:85" ht="15" customHeight="1" thickBot="1">
      <c r="A23" s="133" t="s">
        <v>26</v>
      </c>
      <c r="B23" s="312">
        <f>+D23+F23+J23</f>
        <v>736037993</v>
      </c>
      <c r="C23" s="312">
        <f t="shared" si="0"/>
        <v>1126315385</v>
      </c>
      <c r="D23" s="312">
        <f>+4!B23</f>
        <v>579426760</v>
      </c>
      <c r="E23" s="312">
        <f>+4!C23</f>
        <v>947946896</v>
      </c>
      <c r="F23" s="312">
        <f>+6!B23</f>
        <v>11096373</v>
      </c>
      <c r="G23" s="312">
        <f>+6!C23</f>
        <v>22057645</v>
      </c>
      <c r="H23" s="312">
        <f>+8!D23</f>
        <v>14284357</v>
      </c>
      <c r="I23" s="312">
        <f>+8!E23</f>
        <v>14336077</v>
      </c>
      <c r="J23" s="312">
        <f>+'14'!B23</f>
        <v>145514860</v>
      </c>
      <c r="K23" s="312">
        <f>+'14'!C23</f>
        <v>141974767</v>
      </c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5"/>
    </row>
    <row r="24" spans="1:85" s="2" customFormat="1" ht="15" customHeight="1" thickBot="1">
      <c r="A24" s="314" t="s">
        <v>27</v>
      </c>
      <c r="B24" s="315">
        <f>SUM(B20:B23)</f>
        <v>706614966</v>
      </c>
      <c r="C24" s="315">
        <f t="shared" si="0"/>
        <v>1118045467</v>
      </c>
      <c r="D24" s="315">
        <f aca="true" t="shared" si="3" ref="D24:K24">SUM(D20:D23)</f>
        <v>571914938</v>
      </c>
      <c r="E24" s="315">
        <f t="shared" si="3"/>
        <v>934344509</v>
      </c>
      <c r="F24" s="315">
        <f t="shared" si="3"/>
        <v>18109462</v>
      </c>
      <c r="G24" s="315">
        <f t="shared" si="3"/>
        <v>34814821</v>
      </c>
      <c r="H24" s="315">
        <f>SUM(H20:H23)</f>
        <v>-79998236</v>
      </c>
      <c r="I24" s="315">
        <f>SUM(I20:I23)</f>
        <v>11437057</v>
      </c>
      <c r="J24" s="315">
        <f t="shared" si="3"/>
        <v>116590566</v>
      </c>
      <c r="K24" s="315">
        <f t="shared" si="3"/>
        <v>137449080</v>
      </c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51"/>
    </row>
    <row r="25" spans="1:85" s="2" customFormat="1" ht="15" customHeight="1">
      <c r="A25" s="116" t="s">
        <v>28</v>
      </c>
      <c r="B25" s="317">
        <f>+B24+B18</f>
        <v>5557976959</v>
      </c>
      <c r="C25" s="313">
        <f t="shared" si="0"/>
        <v>5774346206</v>
      </c>
      <c r="D25" s="317">
        <f aca="true" t="shared" si="4" ref="D25:K25">+D24+D18</f>
        <v>4409976721</v>
      </c>
      <c r="E25" s="317">
        <f t="shared" si="4"/>
        <v>5008151624</v>
      </c>
      <c r="F25" s="317">
        <f t="shared" si="4"/>
        <v>106353215</v>
      </c>
      <c r="G25" s="317">
        <f t="shared" si="4"/>
        <v>122248950</v>
      </c>
      <c r="H25" s="317">
        <f>+H24+H18</f>
        <v>119011787</v>
      </c>
      <c r="I25" s="317">
        <f>+I24+I18</f>
        <v>141193399</v>
      </c>
      <c r="J25" s="317">
        <f t="shared" si="4"/>
        <v>1041647023</v>
      </c>
      <c r="K25" s="317">
        <f t="shared" si="4"/>
        <v>502752233</v>
      </c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51"/>
    </row>
    <row r="26" spans="1:85" ht="15" customHeight="1">
      <c r="A26" s="118" t="s">
        <v>29</v>
      </c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5"/>
    </row>
    <row r="27" spans="1:85" ht="15" customHeight="1">
      <c r="A27" s="118" t="s">
        <v>30</v>
      </c>
      <c r="B27" s="121"/>
      <c r="C27" s="121"/>
      <c r="D27" s="121"/>
      <c r="E27" s="121"/>
      <c r="F27" s="121"/>
      <c r="G27" s="121"/>
      <c r="H27" s="121"/>
      <c r="I27" s="121"/>
      <c r="J27" s="121"/>
      <c r="K27" s="12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25"/>
    </row>
    <row r="28" spans="1:85" ht="15" customHeight="1">
      <c r="A28" s="122" t="s">
        <v>31</v>
      </c>
      <c r="B28" s="121">
        <f>+D28+F28+J28</f>
        <v>2837275342</v>
      </c>
      <c r="C28" s="121">
        <f t="shared" si="0"/>
        <v>2997170017</v>
      </c>
      <c r="D28" s="121">
        <f>+4!B28</f>
        <v>2307990677</v>
      </c>
      <c r="E28" s="121">
        <f>+4!C28</f>
        <v>2321713514</v>
      </c>
      <c r="F28" s="121">
        <f>+6!B28</f>
        <v>57703770</v>
      </c>
      <c r="G28" s="121">
        <f>+6!C28</f>
        <v>72018939</v>
      </c>
      <c r="H28" s="121">
        <f>+8!D28</f>
        <v>83470833</v>
      </c>
      <c r="I28" s="121">
        <f>+8!E28</f>
        <v>76196925</v>
      </c>
      <c r="J28" s="121">
        <f>+'14'!B28</f>
        <v>471580895</v>
      </c>
      <c r="K28" s="121">
        <f>+'14'!C28</f>
        <v>527240639</v>
      </c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5"/>
    </row>
    <row r="29" spans="1:85" ht="15" customHeight="1" thickBot="1">
      <c r="A29" s="318" t="s">
        <v>32</v>
      </c>
      <c r="B29" s="312">
        <f>+D29+F29+J29</f>
        <v>155051606</v>
      </c>
      <c r="C29" s="312">
        <f t="shared" si="0"/>
        <v>187967966</v>
      </c>
      <c r="D29" s="312">
        <f>+4!B29</f>
        <v>146987960</v>
      </c>
      <c r="E29" s="312">
        <f>+4!C29</f>
        <v>121348939</v>
      </c>
      <c r="F29" s="312">
        <f>+6!B29</f>
        <v>603437</v>
      </c>
      <c r="G29" s="312">
        <f>+6!C29</f>
        <v>301310</v>
      </c>
      <c r="H29" s="312">
        <f>+8!D29</f>
        <v>1366339</v>
      </c>
      <c r="I29" s="312">
        <f>+8!E29</f>
        <v>2990554</v>
      </c>
      <c r="J29" s="312">
        <f>+'14'!B29</f>
        <v>7460209</v>
      </c>
      <c r="K29" s="312">
        <f>+'14'!C29</f>
        <v>63327163</v>
      </c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5"/>
    </row>
    <row r="30" spans="1:85" s="4" customFormat="1" ht="15" customHeight="1" thickBot="1">
      <c r="A30" s="314" t="s">
        <v>33</v>
      </c>
      <c r="B30" s="316">
        <f>SUM(B28:B29)</f>
        <v>2992326948</v>
      </c>
      <c r="C30" s="315">
        <f t="shared" si="0"/>
        <v>3185137983</v>
      </c>
      <c r="D30" s="316">
        <f aca="true" t="shared" si="5" ref="D30:K30">SUM(D28:D29)</f>
        <v>2454978637</v>
      </c>
      <c r="E30" s="316">
        <f t="shared" si="5"/>
        <v>2443062453</v>
      </c>
      <c r="F30" s="316">
        <f t="shared" si="5"/>
        <v>58307207</v>
      </c>
      <c r="G30" s="316">
        <f t="shared" si="5"/>
        <v>72320249</v>
      </c>
      <c r="H30" s="316">
        <f>SUM(H28:H29)</f>
        <v>84837172</v>
      </c>
      <c r="I30" s="316">
        <f>SUM(I28:I29)</f>
        <v>79187479</v>
      </c>
      <c r="J30" s="316">
        <f t="shared" si="5"/>
        <v>479041104</v>
      </c>
      <c r="K30" s="316">
        <f t="shared" si="5"/>
        <v>590567802</v>
      </c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52"/>
    </row>
    <row r="31" spans="1:85" ht="15" customHeight="1">
      <c r="A31" s="116" t="s">
        <v>34</v>
      </c>
      <c r="B31" s="313"/>
      <c r="C31" s="313"/>
      <c r="D31" s="313"/>
      <c r="E31" s="313"/>
      <c r="F31" s="313"/>
      <c r="G31" s="313"/>
      <c r="H31" s="313"/>
      <c r="I31" s="313"/>
      <c r="J31" s="313"/>
      <c r="K31" s="313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25"/>
    </row>
    <row r="32" spans="1:85" ht="15" customHeight="1">
      <c r="A32" s="120" t="s">
        <v>63</v>
      </c>
      <c r="B32" s="121">
        <f>+D32+F32+J32</f>
        <v>2779271139</v>
      </c>
      <c r="C32" s="121">
        <f t="shared" si="0"/>
        <v>2876440288</v>
      </c>
      <c r="D32" s="121">
        <f>+4!B32</f>
        <v>2246310061</v>
      </c>
      <c r="E32" s="121">
        <f>+4!C32</f>
        <v>2173993652</v>
      </c>
      <c r="F32" s="121">
        <f>+6!B32</f>
        <v>52203115</v>
      </c>
      <c r="G32" s="121">
        <f>+6!C32</f>
        <v>64718608</v>
      </c>
      <c r="H32" s="121">
        <f>+8!D32</f>
        <v>86833837</v>
      </c>
      <c r="I32" s="121">
        <f>+8!E32</f>
        <v>78119271</v>
      </c>
      <c r="J32" s="121">
        <f>+'14'!B32</f>
        <v>480757963</v>
      </c>
      <c r="K32" s="121">
        <f>+'14'!C32</f>
        <v>559608757</v>
      </c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5"/>
    </row>
    <row r="33" spans="1:85" ht="15" customHeight="1">
      <c r="A33" s="120" t="s">
        <v>35</v>
      </c>
      <c r="B33" s="121">
        <f>+D33+F33+J33</f>
        <v>122304147</v>
      </c>
      <c r="C33" s="121">
        <f t="shared" si="0"/>
        <v>196625247</v>
      </c>
      <c r="D33" s="121">
        <f>+4!B33</f>
        <v>109447560</v>
      </c>
      <c r="E33" s="121">
        <f>+4!C33</f>
        <v>176268494</v>
      </c>
      <c r="F33" s="121">
        <f>+6!B33</f>
        <v>3812943</v>
      </c>
      <c r="G33" s="121">
        <f>+6!C33</f>
        <v>5953570</v>
      </c>
      <c r="H33" s="121">
        <f>+8!D33</f>
        <v>6833809</v>
      </c>
      <c r="I33" s="121">
        <f>+8!E33</f>
        <v>4284252</v>
      </c>
      <c r="J33" s="121">
        <f>+'14'!B33</f>
        <v>9043644</v>
      </c>
      <c r="K33" s="121">
        <f>+'14'!C33</f>
        <v>10118931</v>
      </c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5"/>
    </row>
    <row r="34" spans="1:85" ht="15" customHeight="1" thickBot="1">
      <c r="A34" s="133" t="s">
        <v>36</v>
      </c>
      <c r="B34" s="312">
        <f>+D34+F34+J34</f>
        <v>6164957</v>
      </c>
      <c r="C34" s="312">
        <f t="shared" si="0"/>
        <v>37673398</v>
      </c>
      <c r="D34" s="312">
        <f>+4!B34</f>
        <v>5724685</v>
      </c>
      <c r="E34" s="312">
        <f>+4!C34</f>
        <v>34691434</v>
      </c>
      <c r="F34" s="312">
        <f>+6!B34</f>
        <v>0</v>
      </c>
      <c r="G34" s="312">
        <f>+6!C34</f>
        <v>0</v>
      </c>
      <c r="H34" s="312">
        <f>+8!D34</f>
        <v>0</v>
      </c>
      <c r="I34" s="312">
        <f>+8!E34</f>
        <v>0</v>
      </c>
      <c r="J34" s="312">
        <f>+'14'!B34</f>
        <v>440272</v>
      </c>
      <c r="K34" s="312">
        <f>+'14'!C34</f>
        <v>2981964</v>
      </c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5"/>
    </row>
    <row r="35" spans="1:85" s="4" customFormat="1" ht="15" customHeight="1" thickBot="1">
      <c r="A35" s="314" t="s">
        <v>37</v>
      </c>
      <c r="B35" s="316">
        <f>SUM(B32:B34)</f>
        <v>2907740243</v>
      </c>
      <c r="C35" s="315">
        <f t="shared" si="0"/>
        <v>3110738933</v>
      </c>
      <c r="D35" s="316">
        <f aca="true" t="shared" si="6" ref="D35:K35">SUM(D32:D34)</f>
        <v>2361482306</v>
      </c>
      <c r="E35" s="316">
        <f t="shared" si="6"/>
        <v>2384953580</v>
      </c>
      <c r="F35" s="316">
        <f t="shared" si="6"/>
        <v>56016058</v>
      </c>
      <c r="G35" s="316">
        <f t="shared" si="6"/>
        <v>70672178</v>
      </c>
      <c r="H35" s="316">
        <f>SUM(H32:H34)</f>
        <v>93667646</v>
      </c>
      <c r="I35" s="316">
        <f>SUM(I32:I34)</f>
        <v>82403523</v>
      </c>
      <c r="J35" s="316">
        <f t="shared" si="6"/>
        <v>490241879</v>
      </c>
      <c r="K35" s="316">
        <f t="shared" si="6"/>
        <v>572709652</v>
      </c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52"/>
    </row>
    <row r="36" spans="1:85" s="5" customFormat="1" ht="15" customHeight="1">
      <c r="A36" s="319" t="s">
        <v>38</v>
      </c>
      <c r="B36" s="320">
        <f>+B28-B32</f>
        <v>58004203</v>
      </c>
      <c r="C36" s="317">
        <f t="shared" si="0"/>
        <v>120729729</v>
      </c>
      <c r="D36" s="320">
        <f aca="true" t="shared" si="7" ref="D36:K36">+D28-D32</f>
        <v>61680616</v>
      </c>
      <c r="E36" s="320">
        <f t="shared" si="7"/>
        <v>147719862</v>
      </c>
      <c r="F36" s="320">
        <f t="shared" si="7"/>
        <v>5500655</v>
      </c>
      <c r="G36" s="320">
        <f t="shared" si="7"/>
        <v>7300331</v>
      </c>
      <c r="H36" s="321">
        <f>+H28-H32</f>
        <v>-3363004</v>
      </c>
      <c r="I36" s="321">
        <f>+I28-I32</f>
        <v>-1922346</v>
      </c>
      <c r="J36" s="321">
        <f t="shared" si="7"/>
        <v>-9177068</v>
      </c>
      <c r="K36" s="321">
        <f t="shared" si="7"/>
        <v>-32368118</v>
      </c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49"/>
    </row>
    <row r="37" spans="1:85" s="190" customFormat="1" ht="15" customHeight="1" thickBot="1">
      <c r="A37" s="186" t="s">
        <v>39</v>
      </c>
      <c r="B37" s="311">
        <f aca="true" t="shared" si="8" ref="B37:K37">+B30-B35</f>
        <v>84586705</v>
      </c>
      <c r="C37" s="311">
        <f t="shared" si="8"/>
        <v>74399050</v>
      </c>
      <c r="D37" s="311">
        <f t="shared" si="8"/>
        <v>93496331</v>
      </c>
      <c r="E37" s="311">
        <f t="shared" si="8"/>
        <v>58108873</v>
      </c>
      <c r="F37" s="311">
        <f t="shared" si="8"/>
        <v>2291149</v>
      </c>
      <c r="G37" s="311">
        <f t="shared" si="8"/>
        <v>1648071</v>
      </c>
      <c r="H37" s="187">
        <f>+H30-H35</f>
        <v>-8830474</v>
      </c>
      <c r="I37" s="187">
        <f>+I30-I35</f>
        <v>-3216044</v>
      </c>
      <c r="J37" s="187">
        <f t="shared" si="8"/>
        <v>-11200775</v>
      </c>
      <c r="K37" s="311">
        <f t="shared" si="8"/>
        <v>17858150</v>
      </c>
      <c r="L37" s="188"/>
      <c r="M37" s="188"/>
      <c r="N37" s="188"/>
      <c r="O37" s="188"/>
      <c r="P37" s="188"/>
      <c r="Q37" s="188"/>
      <c r="R37" s="188"/>
      <c r="S37" s="188"/>
      <c r="T37" s="188"/>
      <c r="U37" s="188"/>
      <c r="V37" s="188"/>
      <c r="W37" s="188"/>
      <c r="X37" s="188"/>
      <c r="Y37" s="188"/>
      <c r="Z37" s="188"/>
      <c r="AA37" s="188"/>
      <c r="AB37" s="188"/>
      <c r="AC37" s="188"/>
      <c r="AD37" s="188"/>
      <c r="AE37" s="188"/>
      <c r="AF37" s="188"/>
      <c r="AG37" s="188"/>
      <c r="AH37" s="188"/>
      <c r="AI37" s="188"/>
      <c r="AJ37" s="188"/>
      <c r="AK37" s="188"/>
      <c r="AL37" s="188"/>
      <c r="AM37" s="188"/>
      <c r="AN37" s="188"/>
      <c r="AO37" s="188"/>
      <c r="AP37" s="188"/>
      <c r="AQ37" s="188"/>
      <c r="AR37" s="188"/>
      <c r="AS37" s="188"/>
      <c r="AT37" s="188"/>
      <c r="AU37" s="188"/>
      <c r="AV37" s="188"/>
      <c r="AW37" s="188"/>
      <c r="AX37" s="188"/>
      <c r="AY37" s="188"/>
      <c r="AZ37" s="188"/>
      <c r="BA37" s="188"/>
      <c r="BB37" s="188"/>
      <c r="BC37" s="188"/>
      <c r="BD37" s="188"/>
      <c r="BE37" s="188"/>
      <c r="BF37" s="188"/>
      <c r="BG37" s="188"/>
      <c r="BH37" s="188"/>
      <c r="BI37" s="188"/>
      <c r="BJ37" s="188"/>
      <c r="BK37" s="188"/>
      <c r="BL37" s="188"/>
      <c r="BM37" s="188"/>
      <c r="BN37" s="188"/>
      <c r="BO37" s="188"/>
      <c r="BP37" s="188"/>
      <c r="BQ37" s="188"/>
      <c r="BR37" s="188"/>
      <c r="BS37" s="188"/>
      <c r="BT37" s="188"/>
      <c r="BU37" s="188"/>
      <c r="BV37" s="188"/>
      <c r="BW37" s="188"/>
      <c r="BX37" s="188"/>
      <c r="BY37" s="188"/>
      <c r="BZ37" s="188"/>
      <c r="CA37" s="188"/>
      <c r="CB37" s="188"/>
      <c r="CC37" s="188"/>
      <c r="CD37" s="188"/>
      <c r="CE37" s="188"/>
      <c r="CF37" s="188"/>
      <c r="CG37" s="189"/>
    </row>
    <row r="38" spans="1:5" s="112" customFormat="1" ht="12.75" customHeight="1">
      <c r="A38" s="207" t="s">
        <v>107</v>
      </c>
      <c r="B38" s="207"/>
      <c r="C38" s="207"/>
      <c r="D38" s="155"/>
      <c r="E38" s="155"/>
    </row>
    <row r="39" spans="1:84" ht="12.75">
      <c r="A39" s="7"/>
      <c r="B39" s="7"/>
      <c r="C39" s="7"/>
      <c r="D39" s="7"/>
      <c r="E39" s="7"/>
      <c r="F39" s="35"/>
      <c r="G39" s="35"/>
      <c r="H39" s="35"/>
      <c r="I39" s="35"/>
      <c r="J39" s="7"/>
      <c r="K39" s="7"/>
      <c r="L39" s="20"/>
      <c r="M39" s="19"/>
      <c r="N39" s="19"/>
      <c r="O39" s="19"/>
      <c r="P39" s="19"/>
      <c r="Q39" s="21"/>
      <c r="R39" s="21"/>
      <c r="S39" s="21"/>
      <c r="T39" s="21"/>
      <c r="U39" s="21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8"/>
      <c r="BG39" s="13"/>
      <c r="BH39" s="13"/>
      <c r="BI39" s="13"/>
      <c r="BJ39" s="13"/>
      <c r="BK39" s="13"/>
      <c r="BL39" s="13"/>
      <c r="BM39" s="12"/>
      <c r="BN39" s="12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</row>
    <row r="40" spans="1:84" ht="12.75">
      <c r="A40" s="7"/>
      <c r="B40" s="7"/>
      <c r="C40" s="7"/>
      <c r="D40" s="7"/>
      <c r="E40" s="7"/>
      <c r="F40" s="35"/>
      <c r="G40" s="35"/>
      <c r="H40" s="35"/>
      <c r="I40" s="35"/>
      <c r="J40" s="7"/>
      <c r="K40" s="7"/>
      <c r="L40" s="20"/>
      <c r="M40" s="19"/>
      <c r="N40" s="19"/>
      <c r="O40" s="19"/>
      <c r="P40" s="19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8"/>
      <c r="BG40" s="13"/>
      <c r="BH40" s="13"/>
      <c r="BI40" s="13"/>
      <c r="BJ40" s="13"/>
      <c r="BK40" s="13"/>
      <c r="BL40" s="13"/>
      <c r="BM40" s="12"/>
      <c r="BN40" s="12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</row>
    <row r="41" spans="1:84" ht="12.75">
      <c r="A41" s="7"/>
      <c r="B41" s="7"/>
      <c r="C41" s="7"/>
      <c r="D41" s="7"/>
      <c r="E41" s="7"/>
      <c r="F41" s="35"/>
      <c r="G41" s="35"/>
      <c r="H41" s="35"/>
      <c r="I41" s="35"/>
      <c r="J41" s="7"/>
      <c r="K41" s="7"/>
      <c r="L41" s="7"/>
      <c r="M41" s="19"/>
      <c r="N41" s="19"/>
      <c r="O41" s="19"/>
      <c r="P41" s="19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2"/>
      <c r="BN41" s="12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</row>
    <row r="42" spans="1:84" ht="12.75">
      <c r="A42" s="7"/>
      <c r="B42" s="7"/>
      <c r="C42" s="7"/>
      <c r="D42" s="7"/>
      <c r="E42" s="7"/>
      <c r="F42" s="35"/>
      <c r="G42" s="35"/>
      <c r="H42" s="35"/>
      <c r="I42" s="35"/>
      <c r="J42" s="7"/>
      <c r="K42" s="7"/>
      <c r="L42" s="7"/>
      <c r="M42" s="19"/>
      <c r="N42" s="19"/>
      <c r="O42" s="19"/>
      <c r="P42" s="19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2"/>
      <c r="BN42" s="12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</row>
    <row r="43" spans="1:84" ht="12.75">
      <c r="A43" s="7"/>
      <c r="B43" s="7"/>
      <c r="C43" s="7"/>
      <c r="D43" s="7"/>
      <c r="E43" s="7"/>
      <c r="F43" s="35"/>
      <c r="G43" s="35"/>
      <c r="H43" s="35"/>
      <c r="I43" s="35"/>
      <c r="J43" s="7"/>
      <c r="K43" s="7"/>
      <c r="L43" s="7"/>
      <c r="M43" s="19"/>
      <c r="N43" s="19"/>
      <c r="O43" s="19"/>
      <c r="P43" s="19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2"/>
      <c r="BN43" s="12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</row>
    <row r="44" spans="1:84" ht="12.75">
      <c r="A44" s="7"/>
      <c r="B44" s="7"/>
      <c r="C44" s="7"/>
      <c r="D44" s="7"/>
      <c r="E44" s="7"/>
      <c r="F44" s="35"/>
      <c r="G44" s="35"/>
      <c r="H44" s="35"/>
      <c r="I44" s="35"/>
      <c r="J44" s="7"/>
      <c r="K44" s="7"/>
      <c r="L44" s="7"/>
      <c r="M44" s="19"/>
      <c r="N44" s="19"/>
      <c r="O44" s="19"/>
      <c r="P44" s="19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2"/>
      <c r="BN44" s="12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</row>
    <row r="45" spans="1:84" ht="12.75">
      <c r="A45" s="7"/>
      <c r="B45" s="7"/>
      <c r="C45" s="7"/>
      <c r="D45" s="7"/>
      <c r="E45" s="7"/>
      <c r="F45" s="35"/>
      <c r="G45" s="35"/>
      <c r="H45" s="35"/>
      <c r="I45" s="35"/>
      <c r="J45" s="7"/>
      <c r="K45" s="7"/>
      <c r="L45" s="7"/>
      <c r="M45" s="19"/>
      <c r="N45" s="19"/>
      <c r="O45" s="19"/>
      <c r="P45" s="19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2"/>
      <c r="BN45" s="12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</row>
    <row r="46" spans="1:84" ht="12.75">
      <c r="A46" s="7"/>
      <c r="B46" s="7"/>
      <c r="C46" s="7"/>
      <c r="D46" s="7"/>
      <c r="E46" s="7"/>
      <c r="F46" s="35"/>
      <c r="G46" s="35"/>
      <c r="H46" s="35"/>
      <c r="I46" s="35"/>
      <c r="J46" s="7"/>
      <c r="K46" s="7"/>
      <c r="L46" s="7"/>
      <c r="M46" s="19"/>
      <c r="N46" s="19"/>
      <c r="O46" s="19"/>
      <c r="P46" s="19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2"/>
      <c r="BN46" s="12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</row>
    <row r="47" spans="1:81" ht="12.75">
      <c r="A47" s="1"/>
      <c r="B47" s="1"/>
      <c r="C47" s="1"/>
      <c r="D47" s="1"/>
      <c r="E47" s="1"/>
      <c r="F47" s="35"/>
      <c r="G47" s="35"/>
      <c r="H47" s="35"/>
      <c r="I47" s="35"/>
      <c r="J47" s="1"/>
      <c r="K47" s="1"/>
      <c r="L47" s="1"/>
      <c r="M47" s="6"/>
      <c r="N47" s="6"/>
      <c r="O47" s="6"/>
      <c r="P47" s="6"/>
      <c r="BM47" s="3"/>
      <c r="BN47" s="3"/>
      <c r="CC47" s="13"/>
    </row>
    <row r="48" spans="1:81" ht="12.75">
      <c r="A48" s="1"/>
      <c r="B48" s="1"/>
      <c r="C48" s="1"/>
      <c r="D48" s="1"/>
      <c r="E48" s="1"/>
      <c r="F48" s="35"/>
      <c r="G48" s="35"/>
      <c r="H48" s="35"/>
      <c r="I48" s="35"/>
      <c r="J48" s="1"/>
      <c r="K48" s="1"/>
      <c r="L48" s="1"/>
      <c r="M48" s="6"/>
      <c r="N48" s="6"/>
      <c r="O48" s="6"/>
      <c r="P48" s="6"/>
      <c r="BM48" s="3"/>
      <c r="BN48" s="3"/>
      <c r="CC48" s="13"/>
    </row>
    <row r="49" spans="1:81" ht="12.75">
      <c r="A49" s="1"/>
      <c r="B49" s="1"/>
      <c r="C49" s="1"/>
      <c r="D49" s="1"/>
      <c r="E49" s="1"/>
      <c r="F49" s="35"/>
      <c r="G49" s="35"/>
      <c r="H49" s="35"/>
      <c r="I49" s="35"/>
      <c r="J49" s="1"/>
      <c r="K49" s="1"/>
      <c r="L49" s="1"/>
      <c r="M49" s="6"/>
      <c r="N49" s="6"/>
      <c r="O49" s="6"/>
      <c r="P49" s="6"/>
      <c r="BM49" s="3"/>
      <c r="BN49" s="3"/>
      <c r="CC49" s="13"/>
    </row>
    <row r="50" spans="1:81" ht="12.75">
      <c r="A50" s="1"/>
      <c r="B50" s="1"/>
      <c r="C50" s="1"/>
      <c r="D50" s="1"/>
      <c r="E50" s="1"/>
      <c r="F50" s="35"/>
      <c r="G50" s="35"/>
      <c r="H50" s="35"/>
      <c r="I50" s="35"/>
      <c r="J50" s="1"/>
      <c r="K50" s="1"/>
      <c r="L50" s="1"/>
      <c r="M50" s="6"/>
      <c r="N50" s="6"/>
      <c r="O50" s="6"/>
      <c r="P50" s="6"/>
      <c r="BM50" s="3"/>
      <c r="BN50" s="3"/>
      <c r="CC50" s="13"/>
    </row>
    <row r="51" spans="1:81" ht="12.75">
      <c r="A51" s="1"/>
      <c r="B51" s="1"/>
      <c r="C51" s="1"/>
      <c r="D51" s="1"/>
      <c r="E51" s="1"/>
      <c r="F51" s="35"/>
      <c r="G51" s="35"/>
      <c r="H51" s="35"/>
      <c r="I51" s="35"/>
      <c r="J51" s="1"/>
      <c r="K51" s="1"/>
      <c r="L51" s="1"/>
      <c r="M51" s="6"/>
      <c r="N51" s="6"/>
      <c r="O51" s="6"/>
      <c r="P51" s="6"/>
      <c r="BM51" s="3"/>
      <c r="BN51" s="3"/>
      <c r="CC51" s="13"/>
    </row>
    <row r="52" spans="1:81" ht="12.75">
      <c r="A52" s="1"/>
      <c r="B52" s="1"/>
      <c r="C52" s="1"/>
      <c r="D52" s="1"/>
      <c r="E52" s="1"/>
      <c r="F52" s="35"/>
      <c r="G52" s="35"/>
      <c r="H52" s="35"/>
      <c r="I52" s="35"/>
      <c r="J52" s="1"/>
      <c r="K52" s="1"/>
      <c r="L52" s="1"/>
      <c r="M52" s="6"/>
      <c r="N52" s="6"/>
      <c r="O52" s="6"/>
      <c r="P52" s="6"/>
      <c r="BM52" s="3"/>
      <c r="BN52" s="3"/>
      <c r="CC52" s="13"/>
    </row>
    <row r="53" spans="1:81" ht="12.75">
      <c r="A53" s="1"/>
      <c r="B53" s="1"/>
      <c r="C53" s="1"/>
      <c r="D53" s="1"/>
      <c r="E53" s="1"/>
      <c r="F53" s="35"/>
      <c r="G53" s="35"/>
      <c r="H53" s="35"/>
      <c r="I53" s="35"/>
      <c r="J53" s="1"/>
      <c r="K53" s="1"/>
      <c r="L53" s="1"/>
      <c r="M53" s="6"/>
      <c r="N53" s="6"/>
      <c r="O53" s="6"/>
      <c r="P53" s="6"/>
      <c r="BM53" s="3"/>
      <c r="BN53" s="3"/>
      <c r="CC53" s="13"/>
    </row>
    <row r="54" spans="1:81" ht="12.75">
      <c r="A54" s="1"/>
      <c r="B54" s="1"/>
      <c r="C54" s="1"/>
      <c r="D54" s="1"/>
      <c r="E54" s="1"/>
      <c r="F54" s="35"/>
      <c r="G54" s="35"/>
      <c r="H54" s="35"/>
      <c r="I54" s="35"/>
      <c r="J54" s="1"/>
      <c r="K54" s="1"/>
      <c r="L54" s="1"/>
      <c r="M54" s="6"/>
      <c r="N54" s="6"/>
      <c r="O54" s="6"/>
      <c r="P54" s="6"/>
      <c r="BM54" s="3"/>
      <c r="BN54" s="3"/>
      <c r="CC54" s="13"/>
    </row>
    <row r="55" spans="1:81" ht="12.75">
      <c r="A55" s="1"/>
      <c r="B55" s="1"/>
      <c r="C55" s="1"/>
      <c r="D55" s="1"/>
      <c r="E55" s="1"/>
      <c r="F55" s="35"/>
      <c r="G55" s="35"/>
      <c r="H55" s="35"/>
      <c r="I55" s="35"/>
      <c r="J55" s="1"/>
      <c r="K55" s="1"/>
      <c r="L55" s="1"/>
      <c r="M55" s="6"/>
      <c r="N55" s="6"/>
      <c r="O55" s="6"/>
      <c r="P55" s="6"/>
      <c r="BM55" s="3"/>
      <c r="BN55" s="3"/>
      <c r="CC55" s="13"/>
    </row>
    <row r="56" spans="1:81" ht="12.75">
      <c r="A56" s="1"/>
      <c r="B56" s="1"/>
      <c r="C56" s="1"/>
      <c r="D56" s="1"/>
      <c r="E56" s="1"/>
      <c r="F56" s="35"/>
      <c r="G56" s="35"/>
      <c r="H56" s="35"/>
      <c r="I56" s="35"/>
      <c r="J56" s="1"/>
      <c r="K56" s="1"/>
      <c r="L56" s="1"/>
      <c r="M56" s="6"/>
      <c r="N56" s="6"/>
      <c r="O56" s="6"/>
      <c r="P56" s="6"/>
      <c r="BM56" s="3"/>
      <c r="BN56" s="3"/>
      <c r="CC56" s="13"/>
    </row>
    <row r="57" spans="1:81" ht="12.75">
      <c r="A57" s="1"/>
      <c r="B57" s="1"/>
      <c r="C57" s="1"/>
      <c r="D57" s="1"/>
      <c r="E57" s="1"/>
      <c r="F57" s="35"/>
      <c r="G57" s="35"/>
      <c r="H57" s="35"/>
      <c r="I57" s="35"/>
      <c r="J57" s="1"/>
      <c r="K57" s="1"/>
      <c r="L57" s="1"/>
      <c r="M57" s="6"/>
      <c r="N57" s="6"/>
      <c r="O57" s="6"/>
      <c r="P57" s="6"/>
      <c r="BM57" s="3"/>
      <c r="BN57" s="3"/>
      <c r="CC57" s="13"/>
    </row>
    <row r="58" spans="1:81" ht="12.75">
      <c r="A58" s="1"/>
      <c r="B58" s="1"/>
      <c r="C58" s="1"/>
      <c r="D58" s="1"/>
      <c r="E58" s="1"/>
      <c r="F58" s="35"/>
      <c r="G58" s="35"/>
      <c r="H58" s="35"/>
      <c r="I58" s="35"/>
      <c r="J58" s="1"/>
      <c r="K58" s="1"/>
      <c r="L58" s="1"/>
      <c r="M58" s="6"/>
      <c r="N58" s="6"/>
      <c r="O58" s="6"/>
      <c r="P58" s="6"/>
      <c r="BM58" s="3"/>
      <c r="BN58" s="3"/>
      <c r="CC58" s="13"/>
    </row>
    <row r="59" spans="1:81" ht="12.75">
      <c r="A59" s="1"/>
      <c r="B59" s="1"/>
      <c r="C59" s="1"/>
      <c r="D59" s="1"/>
      <c r="E59" s="1"/>
      <c r="F59" s="35"/>
      <c r="G59" s="35"/>
      <c r="H59" s="35"/>
      <c r="I59" s="35"/>
      <c r="J59" s="1"/>
      <c r="K59" s="1"/>
      <c r="L59" s="1"/>
      <c r="M59" s="6"/>
      <c r="N59" s="6"/>
      <c r="O59" s="6"/>
      <c r="P59" s="6"/>
      <c r="BM59" s="3"/>
      <c r="BN59" s="3"/>
      <c r="CC59" s="13"/>
    </row>
    <row r="60" spans="1:81" ht="12.75">
      <c r="A60" s="1"/>
      <c r="B60" s="1"/>
      <c r="C60" s="1"/>
      <c r="D60" s="1"/>
      <c r="E60" s="1"/>
      <c r="F60" s="35"/>
      <c r="G60" s="35"/>
      <c r="H60" s="35"/>
      <c r="I60" s="35"/>
      <c r="J60" s="1"/>
      <c r="K60" s="1"/>
      <c r="L60" s="1"/>
      <c r="M60" s="6"/>
      <c r="N60" s="6"/>
      <c r="O60" s="6"/>
      <c r="P60" s="6"/>
      <c r="BM60" s="3"/>
      <c r="BN60" s="3"/>
      <c r="CC60" s="13"/>
    </row>
    <row r="61" spans="1:81" ht="12.75">
      <c r="A61" s="1"/>
      <c r="B61" s="1"/>
      <c r="C61" s="1"/>
      <c r="D61" s="1"/>
      <c r="E61" s="1"/>
      <c r="F61" s="35"/>
      <c r="G61" s="35"/>
      <c r="H61" s="35"/>
      <c r="I61" s="35"/>
      <c r="J61" s="1"/>
      <c r="K61" s="1"/>
      <c r="L61" s="1"/>
      <c r="M61" s="6"/>
      <c r="N61" s="6"/>
      <c r="O61" s="6"/>
      <c r="P61" s="6"/>
      <c r="BM61" s="3"/>
      <c r="BN61" s="3"/>
      <c r="CC61" s="13"/>
    </row>
    <row r="62" spans="1:81" ht="12.75">
      <c r="A62" s="1"/>
      <c r="B62" s="1"/>
      <c r="C62" s="1"/>
      <c r="D62" s="1"/>
      <c r="E62" s="1"/>
      <c r="F62" s="35"/>
      <c r="G62" s="35"/>
      <c r="H62" s="35"/>
      <c r="I62" s="35"/>
      <c r="J62" s="1"/>
      <c r="K62" s="1"/>
      <c r="L62" s="1"/>
      <c r="M62" s="6"/>
      <c r="N62" s="6"/>
      <c r="O62" s="6"/>
      <c r="P62" s="6"/>
      <c r="BM62" s="3"/>
      <c r="BN62" s="3"/>
      <c r="CC62" s="13"/>
    </row>
    <row r="63" spans="1:81" ht="12.75">
      <c r="A63" s="1"/>
      <c r="B63" s="1"/>
      <c r="C63" s="1"/>
      <c r="D63" s="1"/>
      <c r="E63" s="1"/>
      <c r="F63" s="35"/>
      <c r="G63" s="35"/>
      <c r="H63" s="35"/>
      <c r="I63" s="35"/>
      <c r="J63" s="1"/>
      <c r="K63" s="1"/>
      <c r="L63" s="1"/>
      <c r="M63" s="6"/>
      <c r="N63" s="6"/>
      <c r="O63" s="6"/>
      <c r="P63" s="6"/>
      <c r="BM63" s="3"/>
      <c r="BN63" s="3"/>
      <c r="CC63" s="13"/>
    </row>
    <row r="64" spans="1:81" ht="12.75">
      <c r="A64" s="1"/>
      <c r="B64" s="1"/>
      <c r="C64" s="1"/>
      <c r="D64" s="1"/>
      <c r="E64" s="1"/>
      <c r="F64" s="35"/>
      <c r="G64" s="35"/>
      <c r="H64" s="35"/>
      <c r="I64" s="35"/>
      <c r="J64" s="1"/>
      <c r="K64" s="1"/>
      <c r="L64" s="1"/>
      <c r="M64" s="6"/>
      <c r="N64" s="6"/>
      <c r="O64" s="6"/>
      <c r="P64" s="6"/>
      <c r="BM64" s="3"/>
      <c r="BN64" s="3"/>
      <c r="CC64" s="13"/>
    </row>
    <row r="65" spans="1:81" ht="12.75">
      <c r="A65" s="1"/>
      <c r="B65" s="1"/>
      <c r="C65" s="1"/>
      <c r="D65" s="1"/>
      <c r="E65" s="1"/>
      <c r="F65" s="35"/>
      <c r="G65" s="35"/>
      <c r="H65" s="35"/>
      <c r="I65" s="35"/>
      <c r="J65" s="1"/>
      <c r="K65" s="1"/>
      <c r="L65" s="1"/>
      <c r="M65" s="6"/>
      <c r="N65" s="6"/>
      <c r="O65" s="6"/>
      <c r="P65" s="6"/>
      <c r="BM65" s="3"/>
      <c r="BN65" s="3"/>
      <c r="CC65" s="13"/>
    </row>
    <row r="66" spans="1:81" ht="12.75">
      <c r="A66" s="1"/>
      <c r="B66" s="1"/>
      <c r="C66" s="1"/>
      <c r="D66" s="1"/>
      <c r="E66" s="1"/>
      <c r="F66" s="25"/>
      <c r="G66" s="25"/>
      <c r="H66" s="25"/>
      <c r="I66" s="25"/>
      <c r="J66" s="1"/>
      <c r="K66" s="1"/>
      <c r="L66" s="1"/>
      <c r="M66" s="6"/>
      <c r="N66" s="6"/>
      <c r="O66" s="6"/>
      <c r="P66" s="6"/>
      <c r="BM66" s="3"/>
      <c r="BN66" s="3"/>
      <c r="CC66" s="13"/>
    </row>
    <row r="67" spans="1:81" ht="12.75">
      <c r="A67" s="1"/>
      <c r="B67" s="1"/>
      <c r="C67" s="1"/>
      <c r="D67" s="1"/>
      <c r="E67" s="1"/>
      <c r="F67" s="25"/>
      <c r="G67" s="25"/>
      <c r="H67" s="25"/>
      <c r="I67" s="25"/>
      <c r="J67" s="1"/>
      <c r="K67" s="1"/>
      <c r="L67" s="1"/>
      <c r="M67" s="6"/>
      <c r="N67" s="6"/>
      <c r="O67" s="6"/>
      <c r="P67" s="6"/>
      <c r="BM67" s="3"/>
      <c r="BN67" s="3"/>
      <c r="CC67" s="13"/>
    </row>
    <row r="68" spans="1:81" ht="12.75">
      <c r="A68" s="1"/>
      <c r="B68" s="1"/>
      <c r="C68" s="1"/>
      <c r="D68" s="1"/>
      <c r="E68" s="1"/>
      <c r="F68" s="25"/>
      <c r="G68" s="25"/>
      <c r="H68" s="25"/>
      <c r="I68" s="25"/>
      <c r="J68" s="1"/>
      <c r="K68" s="1"/>
      <c r="L68" s="1"/>
      <c r="M68" s="6"/>
      <c r="N68" s="6"/>
      <c r="O68" s="6"/>
      <c r="P68" s="6"/>
      <c r="BM68" s="3"/>
      <c r="BN68" s="3"/>
      <c r="CC68" s="13"/>
    </row>
    <row r="69" spans="1:81" ht="12.75">
      <c r="A69" s="1"/>
      <c r="B69" s="1"/>
      <c r="C69" s="1"/>
      <c r="D69" s="1"/>
      <c r="E69" s="1"/>
      <c r="F69" s="25"/>
      <c r="G69" s="25"/>
      <c r="H69" s="25"/>
      <c r="I69" s="25"/>
      <c r="J69" s="1"/>
      <c r="K69" s="1"/>
      <c r="L69" s="1"/>
      <c r="M69" s="6"/>
      <c r="N69" s="6"/>
      <c r="O69" s="6"/>
      <c r="P69" s="6"/>
      <c r="BM69" s="3"/>
      <c r="BN69" s="3"/>
      <c r="CC69" s="13"/>
    </row>
    <row r="70" spans="6:81" ht="12.75">
      <c r="F70" s="25"/>
      <c r="G70" s="25"/>
      <c r="H70" s="25"/>
      <c r="I70" s="25"/>
      <c r="M70" s="5"/>
      <c r="N70" s="5"/>
      <c r="O70" s="5"/>
      <c r="P70" s="5"/>
      <c r="BM70" s="3"/>
      <c r="BN70" s="3"/>
      <c r="CC70" s="13"/>
    </row>
    <row r="71" spans="6:81" ht="12.75">
      <c r="F71" s="25"/>
      <c r="G71" s="25"/>
      <c r="H71" s="25"/>
      <c r="I71" s="25"/>
      <c r="M71" s="5"/>
      <c r="N71" s="5"/>
      <c r="O71" s="5"/>
      <c r="P71" s="5"/>
      <c r="BM71" s="3"/>
      <c r="BN71" s="3"/>
      <c r="CC71" s="13"/>
    </row>
    <row r="72" spans="6:9" ht="12.75">
      <c r="F72" s="25"/>
      <c r="G72" s="25"/>
      <c r="H72" s="25"/>
      <c r="I72" s="25"/>
    </row>
    <row r="73" spans="6:9" ht="12.75">
      <c r="F73" s="25"/>
      <c r="G73" s="25"/>
      <c r="H73" s="25"/>
      <c r="I73" s="25"/>
    </row>
    <row r="74" spans="6:9" ht="12.75">
      <c r="F74" s="25"/>
      <c r="G74" s="25"/>
      <c r="H74" s="25"/>
      <c r="I74" s="25"/>
    </row>
    <row r="75" spans="6:9" ht="12.75">
      <c r="F75" s="25"/>
      <c r="G75" s="25"/>
      <c r="H75" s="25"/>
      <c r="I75" s="25"/>
    </row>
    <row r="76" spans="6:9" ht="12.75">
      <c r="F76" s="25"/>
      <c r="G76" s="25"/>
      <c r="H76" s="25"/>
      <c r="I76" s="25"/>
    </row>
    <row r="77" spans="6:9" ht="12.75">
      <c r="F77" s="25"/>
      <c r="G77" s="25"/>
      <c r="H77" s="25"/>
      <c r="I77" s="25"/>
    </row>
    <row r="78" spans="6:9" ht="12.75">
      <c r="F78" s="25"/>
      <c r="G78" s="25"/>
      <c r="H78" s="25"/>
      <c r="I78" s="25"/>
    </row>
    <row r="79" spans="6:9" ht="12.75">
      <c r="F79" s="25"/>
      <c r="G79" s="25"/>
      <c r="H79" s="25"/>
      <c r="I79" s="25"/>
    </row>
    <row r="80" spans="6:9" ht="12.75">
      <c r="F80" s="25"/>
      <c r="G80" s="25"/>
      <c r="H80" s="25"/>
      <c r="I80" s="25"/>
    </row>
    <row r="81" spans="6:9" ht="12.75">
      <c r="F81" s="25"/>
      <c r="G81" s="25"/>
      <c r="H81" s="25"/>
      <c r="I81" s="25"/>
    </row>
    <row r="82" spans="6:9" ht="12.75">
      <c r="F82" s="25"/>
      <c r="G82" s="25"/>
      <c r="H82" s="25"/>
      <c r="I82" s="25"/>
    </row>
    <row r="83" spans="6:9" ht="12.75">
      <c r="F83" s="25"/>
      <c r="G83" s="25"/>
      <c r="H83" s="25"/>
      <c r="I83" s="25"/>
    </row>
    <row r="84" spans="6:9" ht="12.75">
      <c r="F84" s="25"/>
      <c r="G84" s="25"/>
      <c r="H84" s="25"/>
      <c r="I84" s="25"/>
    </row>
    <row r="85" spans="6:9" ht="12.75">
      <c r="F85" s="25"/>
      <c r="G85" s="25"/>
      <c r="H85" s="25"/>
      <c r="I85" s="25"/>
    </row>
    <row r="86" spans="6:9" ht="12.75">
      <c r="F86" s="25"/>
      <c r="G86" s="25"/>
      <c r="H86" s="25"/>
      <c r="I86" s="25"/>
    </row>
    <row r="87" spans="6:9" ht="12.75">
      <c r="F87" s="25"/>
      <c r="G87" s="25"/>
      <c r="H87" s="25"/>
      <c r="I87" s="25"/>
    </row>
    <row r="88" spans="6:9" ht="12.75">
      <c r="F88" s="25"/>
      <c r="G88" s="25"/>
      <c r="H88" s="25"/>
      <c r="I88" s="25"/>
    </row>
    <row r="89" spans="6:9" ht="12.75">
      <c r="F89" s="25"/>
      <c r="G89" s="25"/>
      <c r="H89" s="25"/>
      <c r="I89" s="25"/>
    </row>
    <row r="90" spans="6:9" ht="12.75">
      <c r="F90" s="25"/>
      <c r="G90" s="25"/>
      <c r="H90" s="25"/>
      <c r="I90" s="25"/>
    </row>
    <row r="91" spans="6:9" ht="12.75">
      <c r="F91" s="25"/>
      <c r="G91" s="25"/>
      <c r="H91" s="25"/>
      <c r="I91" s="25"/>
    </row>
    <row r="92" spans="6:9" ht="12.75">
      <c r="F92" s="25"/>
      <c r="G92" s="25"/>
      <c r="H92" s="25"/>
      <c r="I92" s="25"/>
    </row>
    <row r="93" spans="6:9" ht="12.75">
      <c r="F93" s="25"/>
      <c r="G93" s="25"/>
      <c r="H93" s="25"/>
      <c r="I93" s="25"/>
    </row>
    <row r="94" spans="6:9" ht="12.75">
      <c r="F94" s="25"/>
      <c r="G94" s="25"/>
      <c r="H94" s="25"/>
      <c r="I94" s="25"/>
    </row>
    <row r="95" spans="6:9" ht="12.75">
      <c r="F95" s="25"/>
      <c r="G95" s="25"/>
      <c r="H95" s="25"/>
      <c r="I95" s="25"/>
    </row>
    <row r="96" spans="6:9" ht="12.75">
      <c r="F96" s="25"/>
      <c r="G96" s="25"/>
      <c r="H96" s="25"/>
      <c r="I96" s="25"/>
    </row>
    <row r="97" spans="6:9" ht="12.75">
      <c r="F97" s="25"/>
      <c r="G97" s="25"/>
      <c r="H97" s="25"/>
      <c r="I97" s="25"/>
    </row>
    <row r="98" spans="6:9" ht="12.75">
      <c r="F98" s="25"/>
      <c r="G98" s="25"/>
      <c r="H98" s="25"/>
      <c r="I98" s="25"/>
    </row>
    <row r="99" spans="6:9" ht="12.75">
      <c r="F99" s="25"/>
      <c r="G99" s="25"/>
      <c r="H99" s="25"/>
      <c r="I99" s="25"/>
    </row>
    <row r="100" spans="6:9" ht="12.75">
      <c r="F100" s="25"/>
      <c r="G100" s="25"/>
      <c r="H100" s="25"/>
      <c r="I100" s="25"/>
    </row>
    <row r="101" spans="6:9" ht="12.75">
      <c r="F101" s="25"/>
      <c r="G101" s="25"/>
      <c r="H101" s="25"/>
      <c r="I101" s="25"/>
    </row>
    <row r="102" spans="6:9" ht="12.75">
      <c r="F102" s="25"/>
      <c r="G102" s="25"/>
      <c r="H102" s="25"/>
      <c r="I102" s="25"/>
    </row>
    <row r="103" spans="6:9" ht="12.75">
      <c r="F103" s="25"/>
      <c r="G103" s="25"/>
      <c r="H103" s="25"/>
      <c r="I103" s="25"/>
    </row>
    <row r="104" spans="6:9" ht="12.75">
      <c r="F104" s="25"/>
      <c r="G104" s="25"/>
      <c r="H104" s="25"/>
      <c r="I104" s="25"/>
    </row>
    <row r="105" spans="6:9" ht="12.75">
      <c r="F105" s="25"/>
      <c r="G105" s="25"/>
      <c r="H105" s="25"/>
      <c r="I105" s="25"/>
    </row>
    <row r="106" spans="6:9" ht="12.75">
      <c r="F106" s="25"/>
      <c r="G106" s="25"/>
      <c r="H106" s="25"/>
      <c r="I106" s="25"/>
    </row>
    <row r="107" spans="6:9" ht="12.75">
      <c r="F107" s="25"/>
      <c r="G107" s="25"/>
      <c r="H107" s="25"/>
      <c r="I107" s="25"/>
    </row>
    <row r="108" spans="6:9" ht="12.75">
      <c r="F108" s="25"/>
      <c r="G108" s="25"/>
      <c r="H108" s="25"/>
      <c r="I108" s="25"/>
    </row>
    <row r="109" spans="6:9" ht="12.75">
      <c r="F109" s="25"/>
      <c r="G109" s="25"/>
      <c r="H109" s="25"/>
      <c r="I109" s="25"/>
    </row>
    <row r="110" spans="6:9" ht="12.75">
      <c r="F110" s="25"/>
      <c r="G110" s="25"/>
      <c r="H110" s="25"/>
      <c r="I110" s="25"/>
    </row>
    <row r="111" spans="6:9" ht="12.75">
      <c r="F111" s="25"/>
      <c r="G111" s="25"/>
      <c r="H111" s="25"/>
      <c r="I111" s="25"/>
    </row>
    <row r="112" spans="6:9" ht="12.75">
      <c r="F112" s="25"/>
      <c r="G112" s="25"/>
      <c r="H112" s="25"/>
      <c r="I112" s="25"/>
    </row>
    <row r="113" spans="6:9" ht="12.75">
      <c r="F113" s="25"/>
      <c r="G113" s="25"/>
      <c r="H113" s="25"/>
      <c r="I113" s="25"/>
    </row>
    <row r="114" spans="6:9" ht="12.75">
      <c r="F114" s="25"/>
      <c r="G114" s="25"/>
      <c r="H114" s="25"/>
      <c r="I114" s="25"/>
    </row>
    <row r="115" spans="6:9" ht="12.75">
      <c r="F115" s="25"/>
      <c r="G115" s="25"/>
      <c r="H115" s="25"/>
      <c r="I115" s="25"/>
    </row>
    <row r="116" spans="6:9" ht="12.75">
      <c r="F116" s="25"/>
      <c r="G116" s="25"/>
      <c r="H116" s="25"/>
      <c r="I116" s="25"/>
    </row>
    <row r="117" spans="6:9" ht="12.75">
      <c r="F117" s="25"/>
      <c r="G117" s="25"/>
      <c r="H117" s="25"/>
      <c r="I117" s="25"/>
    </row>
    <row r="118" spans="6:9" ht="12.75">
      <c r="F118" s="25"/>
      <c r="G118" s="25"/>
      <c r="H118" s="25"/>
      <c r="I118" s="25"/>
    </row>
    <row r="119" spans="6:9" ht="12.75">
      <c r="F119" s="25"/>
      <c r="G119" s="25"/>
      <c r="H119" s="25"/>
      <c r="I119" s="25"/>
    </row>
    <row r="120" spans="6:9" ht="12.75">
      <c r="F120" s="25"/>
      <c r="G120" s="25"/>
      <c r="H120" s="25"/>
      <c r="I120" s="25"/>
    </row>
    <row r="121" spans="6:9" ht="12.75">
      <c r="F121" s="25"/>
      <c r="G121" s="25"/>
      <c r="H121" s="25"/>
      <c r="I121" s="25"/>
    </row>
    <row r="122" spans="6:9" ht="12.75">
      <c r="F122" s="25"/>
      <c r="G122" s="25"/>
      <c r="H122" s="25"/>
      <c r="I122" s="25"/>
    </row>
    <row r="123" spans="6:9" ht="12.75">
      <c r="F123" s="25"/>
      <c r="G123" s="25"/>
      <c r="H123" s="25"/>
      <c r="I123" s="25"/>
    </row>
    <row r="124" spans="6:9" ht="12.75">
      <c r="F124" s="25"/>
      <c r="G124" s="25"/>
      <c r="H124" s="25"/>
      <c r="I124" s="25"/>
    </row>
    <row r="125" spans="6:9" ht="12.75">
      <c r="F125" s="25"/>
      <c r="G125" s="25"/>
      <c r="H125" s="25"/>
      <c r="I125" s="25"/>
    </row>
    <row r="126" spans="6:9" ht="12.75">
      <c r="F126" s="25"/>
      <c r="G126" s="25"/>
      <c r="H126" s="25"/>
      <c r="I126" s="25"/>
    </row>
    <row r="127" spans="6:9" ht="12.75">
      <c r="F127" s="25"/>
      <c r="G127" s="25"/>
      <c r="H127" s="25"/>
      <c r="I127" s="25"/>
    </row>
    <row r="128" spans="6:9" ht="12.75">
      <c r="F128" s="25"/>
      <c r="G128" s="25"/>
      <c r="H128" s="25"/>
      <c r="I128" s="25"/>
    </row>
    <row r="129" spans="6:9" ht="12.75">
      <c r="F129" s="25"/>
      <c r="G129" s="25"/>
      <c r="H129" s="25"/>
      <c r="I129" s="25"/>
    </row>
    <row r="130" spans="6:9" ht="12.75">
      <c r="F130" s="25"/>
      <c r="G130" s="25"/>
      <c r="H130" s="25"/>
      <c r="I130" s="25"/>
    </row>
    <row r="131" spans="6:9" ht="12.75">
      <c r="F131" s="25"/>
      <c r="G131" s="25"/>
      <c r="H131" s="25"/>
      <c r="I131" s="25"/>
    </row>
    <row r="132" spans="6:9" ht="12.75">
      <c r="F132" s="25"/>
      <c r="G132" s="25"/>
      <c r="H132" s="25"/>
      <c r="I132" s="25"/>
    </row>
    <row r="133" spans="6:9" ht="12.75">
      <c r="F133" s="25"/>
      <c r="G133" s="25"/>
      <c r="H133" s="25"/>
      <c r="I133" s="25"/>
    </row>
    <row r="134" spans="6:9" ht="12.75">
      <c r="F134" s="25"/>
      <c r="G134" s="25"/>
      <c r="H134" s="25"/>
      <c r="I134" s="25"/>
    </row>
    <row r="135" spans="6:9" ht="12.75">
      <c r="F135" s="25"/>
      <c r="G135" s="25"/>
      <c r="H135" s="25"/>
      <c r="I135" s="25"/>
    </row>
    <row r="136" spans="6:9" ht="12.75">
      <c r="F136" s="25"/>
      <c r="G136" s="25"/>
      <c r="H136" s="25"/>
      <c r="I136" s="25"/>
    </row>
    <row r="137" spans="6:9" ht="12.75">
      <c r="F137" s="25"/>
      <c r="G137" s="25"/>
      <c r="H137" s="25"/>
      <c r="I137" s="25"/>
    </row>
    <row r="138" spans="6:9" ht="12.75">
      <c r="F138" s="25"/>
      <c r="G138" s="25"/>
      <c r="H138" s="25"/>
      <c r="I138" s="25"/>
    </row>
    <row r="139" spans="6:9" ht="12.75">
      <c r="F139" s="25"/>
      <c r="G139" s="25"/>
      <c r="H139" s="25"/>
      <c r="I139" s="25"/>
    </row>
    <row r="140" spans="6:9" ht="12.75">
      <c r="F140" s="25"/>
      <c r="G140" s="25"/>
      <c r="H140" s="25"/>
      <c r="I140" s="25"/>
    </row>
    <row r="141" spans="6:9" ht="12.75">
      <c r="F141" s="25"/>
      <c r="G141" s="25"/>
      <c r="H141" s="25"/>
      <c r="I141" s="25"/>
    </row>
    <row r="142" spans="6:9" ht="12.75">
      <c r="F142" s="25"/>
      <c r="G142" s="25"/>
      <c r="H142" s="25"/>
      <c r="I142" s="25"/>
    </row>
    <row r="143" spans="6:9" ht="12.75">
      <c r="F143" s="25"/>
      <c r="G143" s="25"/>
      <c r="H143" s="25"/>
      <c r="I143" s="25"/>
    </row>
    <row r="144" spans="6:9" ht="12.75">
      <c r="F144" s="25"/>
      <c r="G144" s="25"/>
      <c r="H144" s="25"/>
      <c r="I144" s="25"/>
    </row>
    <row r="145" spans="6:9" ht="12.75">
      <c r="F145" s="25"/>
      <c r="G145" s="25"/>
      <c r="H145" s="25"/>
      <c r="I145" s="25"/>
    </row>
    <row r="146" spans="6:9" ht="12.75">
      <c r="F146" s="25"/>
      <c r="G146" s="25"/>
      <c r="H146" s="25"/>
      <c r="I146" s="25"/>
    </row>
    <row r="147" spans="6:9" ht="12.75">
      <c r="F147" s="25"/>
      <c r="G147" s="25"/>
      <c r="H147" s="25"/>
      <c r="I147" s="25"/>
    </row>
    <row r="148" spans="6:9" ht="12.75">
      <c r="F148" s="25"/>
      <c r="G148" s="25"/>
      <c r="H148" s="25"/>
      <c r="I148" s="25"/>
    </row>
    <row r="149" spans="6:9" ht="12.75">
      <c r="F149" s="25"/>
      <c r="G149" s="25"/>
      <c r="H149" s="25"/>
      <c r="I149" s="25"/>
    </row>
    <row r="150" spans="6:9" ht="12.75">
      <c r="F150" s="25"/>
      <c r="G150" s="25"/>
      <c r="H150" s="25"/>
      <c r="I150" s="25"/>
    </row>
    <row r="151" spans="6:9" ht="12.75">
      <c r="F151" s="25"/>
      <c r="G151" s="25"/>
      <c r="H151" s="25"/>
      <c r="I151" s="25"/>
    </row>
    <row r="152" spans="6:9" ht="12.75">
      <c r="F152" s="25"/>
      <c r="G152" s="25"/>
      <c r="H152" s="25"/>
      <c r="I152" s="25"/>
    </row>
    <row r="153" spans="6:9" ht="12.75">
      <c r="F153" s="25"/>
      <c r="G153" s="25"/>
      <c r="H153" s="25"/>
      <c r="I153" s="25"/>
    </row>
    <row r="154" spans="6:9" ht="12.75">
      <c r="F154" s="25"/>
      <c r="G154" s="25"/>
      <c r="H154" s="25"/>
      <c r="I154" s="25"/>
    </row>
    <row r="155" spans="6:9" ht="12.75">
      <c r="F155" s="25"/>
      <c r="G155" s="25"/>
      <c r="H155" s="25"/>
      <c r="I155" s="25"/>
    </row>
    <row r="156" spans="6:9" ht="12.75">
      <c r="F156" s="25"/>
      <c r="G156" s="25"/>
      <c r="H156" s="25"/>
      <c r="I156" s="25"/>
    </row>
    <row r="157" spans="6:9" ht="12.75">
      <c r="F157" s="25"/>
      <c r="G157" s="25"/>
      <c r="H157" s="25"/>
      <c r="I157" s="25"/>
    </row>
    <row r="158" spans="6:9" ht="12.75">
      <c r="F158" s="25"/>
      <c r="G158" s="25"/>
      <c r="H158" s="25"/>
      <c r="I158" s="25"/>
    </row>
    <row r="159" spans="6:9" ht="12.75">
      <c r="F159" s="25"/>
      <c r="G159" s="25"/>
      <c r="H159" s="25"/>
      <c r="I159" s="25"/>
    </row>
    <row r="160" spans="6:9" ht="12.75">
      <c r="F160" s="25"/>
      <c r="G160" s="25"/>
      <c r="H160" s="25"/>
      <c r="I160" s="25"/>
    </row>
    <row r="161" spans="6:9" ht="12.75">
      <c r="F161" s="25"/>
      <c r="G161" s="25"/>
      <c r="H161" s="25"/>
      <c r="I161" s="25"/>
    </row>
    <row r="162" spans="6:9" ht="12.75">
      <c r="F162" s="25"/>
      <c r="G162" s="25"/>
      <c r="H162" s="25"/>
      <c r="I162" s="25"/>
    </row>
    <row r="163" spans="6:9" ht="12.75">
      <c r="F163" s="25"/>
      <c r="G163" s="25"/>
      <c r="H163" s="25"/>
      <c r="I163" s="25"/>
    </row>
    <row r="164" spans="6:9" ht="12.75">
      <c r="F164" s="25"/>
      <c r="G164" s="25"/>
      <c r="H164" s="25"/>
      <c r="I164" s="25"/>
    </row>
    <row r="165" spans="6:9" ht="12.75">
      <c r="F165" s="25"/>
      <c r="G165" s="25"/>
      <c r="H165" s="25"/>
      <c r="I165" s="25"/>
    </row>
    <row r="166" spans="6:9" ht="12.75">
      <c r="F166" s="25"/>
      <c r="G166" s="25"/>
      <c r="H166" s="25"/>
      <c r="I166" s="25"/>
    </row>
    <row r="167" spans="6:9" ht="12.75">
      <c r="F167" s="25"/>
      <c r="G167" s="25"/>
      <c r="H167" s="25"/>
      <c r="I167" s="25"/>
    </row>
    <row r="168" spans="6:9" ht="12.75">
      <c r="F168" s="25"/>
      <c r="G168" s="25"/>
      <c r="H168" s="25"/>
      <c r="I168" s="25"/>
    </row>
    <row r="169" spans="6:9" ht="12.75">
      <c r="F169" s="25"/>
      <c r="G169" s="25"/>
      <c r="H169" s="25"/>
      <c r="I169" s="25"/>
    </row>
    <row r="170" spans="6:9" ht="12.75">
      <c r="F170" s="25"/>
      <c r="G170" s="25"/>
      <c r="H170" s="25"/>
      <c r="I170" s="25"/>
    </row>
    <row r="171" spans="6:9" ht="12.75">
      <c r="F171" s="25"/>
      <c r="G171" s="25"/>
      <c r="H171" s="25"/>
      <c r="I171" s="25"/>
    </row>
    <row r="172" spans="6:9" ht="12.75">
      <c r="F172" s="25"/>
      <c r="G172" s="25"/>
      <c r="H172" s="25"/>
      <c r="I172" s="25"/>
    </row>
    <row r="173" spans="6:9" ht="12.75">
      <c r="F173" s="25"/>
      <c r="G173" s="25"/>
      <c r="H173" s="25"/>
      <c r="I173" s="25"/>
    </row>
    <row r="174" spans="6:9" ht="12.75">
      <c r="F174" s="25"/>
      <c r="G174" s="25"/>
      <c r="H174" s="25"/>
      <c r="I174" s="25"/>
    </row>
    <row r="175" spans="6:9" ht="12.75">
      <c r="F175" s="25"/>
      <c r="G175" s="25"/>
      <c r="H175" s="25"/>
      <c r="I175" s="25"/>
    </row>
    <row r="176" spans="6:9" ht="12.75">
      <c r="F176" s="25"/>
      <c r="G176" s="25"/>
      <c r="H176" s="25"/>
      <c r="I176" s="25"/>
    </row>
    <row r="177" spans="6:9" ht="12.75">
      <c r="F177" s="25"/>
      <c r="G177" s="25"/>
      <c r="H177" s="25"/>
      <c r="I177" s="25"/>
    </row>
    <row r="178" spans="6:9" ht="12.75">
      <c r="F178" s="25"/>
      <c r="G178" s="25"/>
      <c r="H178" s="25"/>
      <c r="I178" s="25"/>
    </row>
    <row r="179" spans="6:9" ht="12.75">
      <c r="F179" s="25"/>
      <c r="G179" s="25"/>
      <c r="H179" s="25"/>
      <c r="I179" s="25"/>
    </row>
    <row r="180" spans="6:9" ht="12.75">
      <c r="F180" s="25"/>
      <c r="G180" s="25"/>
      <c r="H180" s="25"/>
      <c r="I180" s="25"/>
    </row>
    <row r="181" spans="6:9" ht="12.75">
      <c r="F181" s="25"/>
      <c r="G181" s="25"/>
      <c r="H181" s="25"/>
      <c r="I181" s="25"/>
    </row>
    <row r="182" spans="6:9" ht="12.75">
      <c r="F182" s="25"/>
      <c r="G182" s="25"/>
      <c r="H182" s="25"/>
      <c r="I182" s="25"/>
    </row>
    <row r="183" spans="6:9" ht="12.75">
      <c r="F183" s="25"/>
      <c r="G183" s="25"/>
      <c r="H183" s="25"/>
      <c r="I183" s="25"/>
    </row>
    <row r="184" spans="6:9" ht="12.75">
      <c r="F184" s="25"/>
      <c r="G184" s="25"/>
      <c r="H184" s="25"/>
      <c r="I184" s="25"/>
    </row>
    <row r="185" spans="6:9" ht="12.75">
      <c r="F185" s="25"/>
      <c r="G185" s="25"/>
      <c r="H185" s="25"/>
      <c r="I185" s="25"/>
    </row>
    <row r="186" spans="6:9" ht="12.75">
      <c r="F186" s="25"/>
      <c r="G186" s="25"/>
      <c r="H186" s="25"/>
      <c r="I186" s="25"/>
    </row>
    <row r="187" spans="6:9" ht="12.75">
      <c r="F187" s="25"/>
      <c r="G187" s="25"/>
      <c r="H187" s="25"/>
      <c r="I187" s="25"/>
    </row>
    <row r="188" spans="6:9" ht="12.75">
      <c r="F188" s="25"/>
      <c r="G188" s="25"/>
      <c r="H188" s="25"/>
      <c r="I188" s="25"/>
    </row>
    <row r="189" spans="6:9" ht="12.75">
      <c r="F189" s="25"/>
      <c r="G189" s="25"/>
      <c r="H189" s="25"/>
      <c r="I189" s="25"/>
    </row>
    <row r="190" spans="6:9" ht="12.75">
      <c r="F190" s="25"/>
      <c r="G190" s="25"/>
      <c r="H190" s="25"/>
      <c r="I190" s="25"/>
    </row>
    <row r="191" spans="6:9" ht="12.75">
      <c r="F191" s="25"/>
      <c r="G191" s="25"/>
      <c r="H191" s="25"/>
      <c r="I191" s="25"/>
    </row>
    <row r="192" spans="6:9" ht="12.75">
      <c r="F192" s="25"/>
      <c r="G192" s="25"/>
      <c r="H192" s="25"/>
      <c r="I192" s="25"/>
    </row>
    <row r="193" spans="6:9" ht="12.75">
      <c r="F193" s="25"/>
      <c r="G193" s="25"/>
      <c r="H193" s="25"/>
      <c r="I193" s="25"/>
    </row>
    <row r="194" spans="6:9" ht="12.75">
      <c r="F194" s="25"/>
      <c r="G194" s="25"/>
      <c r="H194" s="25"/>
      <c r="I194" s="25"/>
    </row>
    <row r="195" spans="6:9" ht="12.75">
      <c r="F195" s="25"/>
      <c r="G195" s="25"/>
      <c r="H195" s="25"/>
      <c r="I195" s="25"/>
    </row>
    <row r="196" spans="6:9" ht="12.75">
      <c r="F196" s="25"/>
      <c r="G196" s="25"/>
      <c r="H196" s="25"/>
      <c r="I196" s="25"/>
    </row>
    <row r="197" spans="6:9" ht="12.75">
      <c r="F197" s="25"/>
      <c r="G197" s="25"/>
      <c r="H197" s="25"/>
      <c r="I197" s="25"/>
    </row>
    <row r="198" spans="6:9" ht="12.75">
      <c r="F198" s="25"/>
      <c r="G198" s="25"/>
      <c r="H198" s="25"/>
      <c r="I198" s="25"/>
    </row>
    <row r="199" spans="6:9" ht="12.75">
      <c r="F199" s="25"/>
      <c r="G199" s="25"/>
      <c r="H199" s="25"/>
      <c r="I199" s="25"/>
    </row>
    <row r="200" spans="6:9" ht="12.75">
      <c r="F200" s="25"/>
      <c r="G200" s="25"/>
      <c r="H200" s="25"/>
      <c r="I200" s="25"/>
    </row>
  </sheetData>
  <sheetProtection/>
  <mergeCells count="42">
    <mergeCell ref="AQ6:AR6"/>
    <mergeCell ref="U6:V6"/>
    <mergeCell ref="AC6:AD6"/>
    <mergeCell ref="AA6:AB6"/>
    <mergeCell ref="AY6:AZ6"/>
    <mergeCell ref="BA6:BB6"/>
    <mergeCell ref="BQ6:BR6"/>
    <mergeCell ref="BC6:BD6"/>
    <mergeCell ref="BK6:BL6"/>
    <mergeCell ref="AE6:AF6"/>
    <mergeCell ref="AG6:AH6"/>
    <mergeCell ref="AI6:AJ6"/>
    <mergeCell ref="AK6:AL6"/>
    <mergeCell ref="BO6:BP6"/>
    <mergeCell ref="AW6:AX6"/>
    <mergeCell ref="BM6:BN6"/>
    <mergeCell ref="BI6:BJ6"/>
    <mergeCell ref="AU6:AV6"/>
    <mergeCell ref="W6:X6"/>
    <mergeCell ref="S6:T6"/>
    <mergeCell ref="AS6:AT6"/>
    <mergeCell ref="M6:N6"/>
    <mergeCell ref="Y6:Z6"/>
    <mergeCell ref="BE6:BF6"/>
    <mergeCell ref="AM6:AN6"/>
    <mergeCell ref="AO6:AP6"/>
    <mergeCell ref="Q6:R6"/>
    <mergeCell ref="B6:C6"/>
    <mergeCell ref="CE6:CF6"/>
    <mergeCell ref="BS6:BT6"/>
    <mergeCell ref="BU6:BV6"/>
    <mergeCell ref="BW6:BX6"/>
    <mergeCell ref="BY6:BZ6"/>
    <mergeCell ref="CA6:CB6"/>
    <mergeCell ref="CC6:CD6"/>
    <mergeCell ref="BG6:BH6"/>
    <mergeCell ref="D6:E6"/>
    <mergeCell ref="F6:G6"/>
    <mergeCell ref="H6:I6"/>
    <mergeCell ref="J6:K6"/>
    <mergeCell ref="A6:A7"/>
    <mergeCell ref="O6:P6"/>
  </mergeCells>
  <printOptions/>
  <pageMargins left="1.5748031496062993" right="0.7874015748031497" top="0.9055118110236221" bottom="0.3937007874015748" header="0.15748031496062992" footer="0"/>
  <pageSetup fitToHeight="8" fitToWidth="2" horizontalDpi="600" verticalDpi="600" orientation="landscape" paperSize="9" scale="85" r:id="rId4"/>
  <drawing r:id="rId3"/>
  <legacyDrawing r:id="rId2"/>
  <oleObjects>
    <oleObject progId="MSPhotoEd.3" shapeId="5158280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K72"/>
  <sheetViews>
    <sheetView zoomScalePageLayoutView="0" workbookViewId="0" topLeftCell="A1">
      <selection activeCell="A6" sqref="A6:C27"/>
    </sheetView>
  </sheetViews>
  <sheetFormatPr defaultColWidth="11.421875" defaultRowHeight="12.75"/>
  <cols>
    <col min="1" max="1" width="34.00390625" style="0" bestFit="1" customWidth="1"/>
    <col min="2" max="2" width="12.28125" style="0" customWidth="1"/>
    <col min="3" max="3" width="12.140625" style="0" customWidth="1"/>
    <col min="4" max="5" width="11.140625" style="0" customWidth="1"/>
    <col min="6" max="11" width="10.421875" style="0" customWidth="1"/>
  </cols>
  <sheetData>
    <row r="1" spans="1:11" ht="12.75">
      <c r="A1" s="114" t="s">
        <v>82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</row>
    <row r="2" spans="1:11" ht="12.75">
      <c r="A2" s="115" t="s">
        <v>71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</row>
    <row r="3" spans="1:11" ht="12.75">
      <c r="A3" s="114" t="s">
        <v>72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</row>
    <row r="4" spans="1:11" ht="12.75">
      <c r="A4" s="114" t="s">
        <v>126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</row>
    <row r="5" spans="1:11" ht="13.5" thickBot="1">
      <c r="A5" s="114" t="s">
        <v>73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</row>
    <row r="6" spans="1:11" ht="13.5" customHeight="1" thickBot="1">
      <c r="A6" s="366" t="s">
        <v>56</v>
      </c>
      <c r="B6" s="353" t="s">
        <v>10</v>
      </c>
      <c r="C6" s="365"/>
      <c r="D6" s="353" t="s">
        <v>65</v>
      </c>
      <c r="E6" s="365"/>
      <c r="F6" s="353" t="s">
        <v>64</v>
      </c>
      <c r="G6" s="365"/>
      <c r="H6" s="353" t="s">
        <v>121</v>
      </c>
      <c r="I6" s="365"/>
      <c r="J6" s="353" t="s">
        <v>66</v>
      </c>
      <c r="K6" s="354"/>
    </row>
    <row r="7" spans="1:11" ht="13.5" thickBot="1">
      <c r="A7" s="367"/>
      <c r="B7" s="208">
        <v>40695</v>
      </c>
      <c r="C7" s="208">
        <v>41061</v>
      </c>
      <c r="D7" s="208">
        <v>40695</v>
      </c>
      <c r="E7" s="208">
        <v>41061</v>
      </c>
      <c r="F7" s="208">
        <v>40695</v>
      </c>
      <c r="G7" s="208">
        <v>41061</v>
      </c>
      <c r="H7" s="208">
        <v>40695</v>
      </c>
      <c r="I7" s="208">
        <v>41061</v>
      </c>
      <c r="J7" s="208">
        <v>40695</v>
      </c>
      <c r="K7" s="208">
        <v>41061</v>
      </c>
    </row>
    <row r="8" spans="1:11" ht="13.5" thickBot="1">
      <c r="A8" s="123" t="s">
        <v>40</v>
      </c>
      <c r="B8" s="180"/>
      <c r="C8" s="180"/>
      <c r="D8" s="180"/>
      <c r="E8" s="180"/>
      <c r="F8" s="180"/>
      <c r="G8" s="180"/>
      <c r="H8" s="180"/>
      <c r="I8" s="180"/>
      <c r="J8" s="180"/>
      <c r="K8" s="180"/>
    </row>
    <row r="9" spans="1:11" ht="13.5" thickBot="1">
      <c r="A9" s="125" t="s">
        <v>60</v>
      </c>
      <c r="B9" s="181">
        <f>2!B10/2!B15</f>
        <v>0.8041357517086624</v>
      </c>
      <c r="C9" s="181">
        <f>2!C10/2!C15</f>
        <v>0.7657125948075594</v>
      </c>
      <c r="D9" s="181">
        <f>2!D10/2!D15</f>
        <v>0.6864684466988488</v>
      </c>
      <c r="E9" s="181">
        <f>2!E10/2!E15</f>
        <v>0.7304918801427401</v>
      </c>
      <c r="F9" s="181">
        <f>2!F10/2!F15</f>
        <v>0.9998518156119715</v>
      </c>
      <c r="G9" s="181">
        <f>2!G10/2!G15</f>
        <v>0.7272246138351758</v>
      </c>
      <c r="H9" s="181">
        <f>2!H10/2!H15</f>
        <v>0.8618217654413134</v>
      </c>
      <c r="I9" s="181">
        <f>2!I10/2!I15</f>
        <v>1.0986635661236452</v>
      </c>
      <c r="J9" s="181">
        <f>2!J10/2!J15</f>
        <v>1.0206612291972232</v>
      </c>
      <c r="K9" s="181">
        <f>2!K10/2!K15</f>
        <v>0.9469628172632399</v>
      </c>
    </row>
    <row r="10" spans="1:11" ht="13.5" thickBot="1">
      <c r="A10" s="123" t="s">
        <v>41</v>
      </c>
      <c r="B10" s="128"/>
      <c r="C10" s="128"/>
      <c r="D10" s="128"/>
      <c r="E10" s="128"/>
      <c r="F10" s="128"/>
      <c r="G10" s="128"/>
      <c r="H10" s="128"/>
      <c r="I10" s="128"/>
      <c r="J10" s="128"/>
      <c r="K10" s="128"/>
    </row>
    <row r="11" spans="1:11" ht="12.75">
      <c r="A11" s="130" t="s">
        <v>8</v>
      </c>
      <c r="B11" s="131">
        <f>+2!B15/2!B18</f>
        <v>0.5658549535081044</v>
      </c>
      <c r="C11" s="131">
        <f>+2!C15/2!C18</f>
        <v>0.5204262529057404</v>
      </c>
      <c r="D11" s="131">
        <f>+2!D15/2!D18</f>
        <v>0.4886214112827897</v>
      </c>
      <c r="E11" s="131">
        <f>+2!E15/2!E18</f>
        <v>0.4942345995190791</v>
      </c>
      <c r="F11" s="131">
        <f>+2!F15/2!F18</f>
        <v>0.27110018768127414</v>
      </c>
      <c r="G11" s="131">
        <f>+2!G15/2!G18</f>
        <v>0.3420471541496113</v>
      </c>
      <c r="H11" s="131">
        <f>+2!H15/2!H18</f>
        <v>0.19142005224530828</v>
      </c>
      <c r="I11" s="131">
        <f>+2!I15/2!I18</f>
        <v>0.16262542296391186</v>
      </c>
      <c r="J11" s="131">
        <f>+2!J15/2!J18</f>
        <v>0.9144146236687476</v>
      </c>
      <c r="K11" s="131">
        <f>+2!K15/2!K18</f>
        <v>0.9822976890648409</v>
      </c>
    </row>
    <row r="12" spans="1:11" ht="12.75">
      <c r="A12" s="120" t="s">
        <v>42</v>
      </c>
      <c r="B12" s="132">
        <f>2!B18/2!B24</f>
        <v>6.865637194839715</v>
      </c>
      <c r="C12" s="132">
        <f>2!C18/2!C24</f>
        <v>4.164679233926003</v>
      </c>
      <c r="D12" s="132">
        <f>2!D18/2!D24</f>
        <v>6.710896197993695</v>
      </c>
      <c r="E12" s="132">
        <f>2!E18/2!E24</f>
        <v>4.360069627165754</v>
      </c>
      <c r="F12" s="132">
        <f>2!F18/2!F24</f>
        <v>4.872798153804901</v>
      </c>
      <c r="G12" s="132">
        <f>2!G18/2!G24</f>
        <v>2.511405386803511</v>
      </c>
      <c r="H12" s="132">
        <f>2!H18/2!H24</f>
        <v>-2.4876801408471056</v>
      </c>
      <c r="I12" s="132">
        <f>2!I18/2!I24</f>
        <v>11.34525621407675</v>
      </c>
      <c r="J12" s="132">
        <f>2!J18/2!J24</f>
        <v>7.9342307764420665</v>
      </c>
      <c r="K12" s="132">
        <f>2!K18/2!K24</f>
        <v>2.6577344351813776</v>
      </c>
    </row>
    <row r="13" spans="1:11" ht="12.75">
      <c r="A13" s="122" t="s">
        <v>43</v>
      </c>
      <c r="B13" s="132">
        <f>2!B16/2!B24</f>
        <v>2.980680498352196</v>
      </c>
      <c r="C13" s="132">
        <f>2!C16/2!C24</f>
        <v>1.9132626097396448</v>
      </c>
      <c r="D13" s="132">
        <f>2!D16/2!D24</f>
        <v>3.4318086267577086</v>
      </c>
      <c r="E13" s="132">
        <f>2!E16/2!E24</f>
        <v>2.1661720923111885</v>
      </c>
      <c r="F13" s="132">
        <f>2!F16/2!F24</f>
        <v>3.5517816597754255</v>
      </c>
      <c r="G13" s="132">
        <f>2!G16/2!G24</f>
        <v>1.6256259367239028</v>
      </c>
      <c r="H13" s="132">
        <f>2!H16/2!H24</f>
        <v>-1.2421752399640411</v>
      </c>
      <c r="I13" s="132">
        <f>2!I16/2!I24</f>
        <v>4.563670793981354</v>
      </c>
      <c r="J13" s="132">
        <f>2!J16/2!J24</f>
        <v>0.6790427280368465</v>
      </c>
      <c r="K13" s="132">
        <f>2!K16/2!K24</f>
        <v>0.046364435469484405</v>
      </c>
    </row>
    <row r="14" spans="1:11" ht="13.5" thickBot="1">
      <c r="A14" s="133" t="s">
        <v>44</v>
      </c>
      <c r="B14" s="134">
        <f>2!B18/2!B13</f>
        <v>0.8677390327501479</v>
      </c>
      <c r="C14" s="134">
        <f>2!C18/2!C13</f>
        <v>0.8063771329393724</v>
      </c>
      <c r="D14" s="134">
        <f>2!D18/2!D13</f>
        <v>0.8703133888358289</v>
      </c>
      <c r="E14" s="134">
        <f>2!E18/2!E13</f>
        <v>0.8134352594859526</v>
      </c>
      <c r="F14" s="134">
        <f>2!F18/2!F13</f>
        <v>0.8297234173879934</v>
      </c>
      <c r="G14" s="134">
        <f>2!G18/2!G13</f>
        <v>0.7152137421221205</v>
      </c>
      <c r="H14" s="134">
        <f>2!H18/2!H13</f>
        <v>1.6721875597813705</v>
      </c>
      <c r="I14" s="134">
        <f>2!I18/2!I13</f>
        <v>0.9189972259255548</v>
      </c>
      <c r="J14" s="134">
        <f>2!J18/2!J13</f>
        <v>0.8880709612370076</v>
      </c>
      <c r="K14" s="134">
        <f>2!K18/2!K13</f>
        <v>0.7266067211018963</v>
      </c>
    </row>
    <row r="15" spans="1:11" ht="13.5" thickBot="1">
      <c r="A15" s="123" t="s">
        <v>45</v>
      </c>
      <c r="B15" s="128"/>
      <c r="C15" s="128"/>
      <c r="D15" s="128"/>
      <c r="E15" s="128"/>
      <c r="F15" s="128"/>
      <c r="G15" s="128"/>
      <c r="H15" s="128"/>
      <c r="I15" s="128"/>
      <c r="J15" s="128"/>
      <c r="K15" s="128"/>
    </row>
    <row r="16" spans="1:11" ht="12.75">
      <c r="A16" s="130" t="s">
        <v>58</v>
      </c>
      <c r="B16" s="135">
        <f>2!B13/2!B18</f>
        <v>1.1524202119048097</v>
      </c>
      <c r="C16" s="135">
        <f>2!C13/2!C18</f>
        <v>1.2401145309699464</v>
      </c>
      <c r="D16" s="135">
        <f>2!D13/2!D18</f>
        <v>1.149011393858534</v>
      </c>
      <c r="E16" s="135">
        <f>2!E13/2!E18</f>
        <v>1.229354135241133</v>
      </c>
      <c r="F16" s="135">
        <f>2!F13/2!F18</f>
        <v>1.2052208953533514</v>
      </c>
      <c r="G16" s="135">
        <f>2!G13/2!G18</f>
        <v>1.3981834256048917</v>
      </c>
      <c r="H16" s="135">
        <f>2!H13/2!H18</f>
        <v>0.5980190404781773</v>
      </c>
      <c r="I16" s="135">
        <f>2!I13/2!I18</f>
        <v>1.0881425664727817</v>
      </c>
      <c r="J16" s="135">
        <f>2!J13/2!J18</f>
        <v>1.1260361431107766</v>
      </c>
      <c r="K16" s="135">
        <f>2!K13/2!K18</f>
        <v>1.3762603220673544</v>
      </c>
    </row>
    <row r="17" spans="1:11" ht="13.5" thickBot="1">
      <c r="A17" s="133" t="s">
        <v>57</v>
      </c>
      <c r="B17" s="134">
        <f>2!B13/2!B15</f>
        <v>2.0366000240171163</v>
      </c>
      <c r="C17" s="134">
        <f>2!C13/2!C15</f>
        <v>2.3828823470105687</v>
      </c>
      <c r="D17" s="134">
        <f>2!D13/2!D15</f>
        <v>2.351537135554511</v>
      </c>
      <c r="E17" s="134">
        <f>2!E13/2!E15</f>
        <v>2.487389867964264</v>
      </c>
      <c r="F17" s="134">
        <f>2!F13/2!F15</f>
        <v>4.445666030929865</v>
      </c>
      <c r="G17" s="134">
        <f>2!G13/2!G15</f>
        <v>4.087692029132705</v>
      </c>
      <c r="H17" s="134">
        <f>2!H13/2!H15</f>
        <v>3.1241190954843385</v>
      </c>
      <c r="I17" s="134">
        <f>2!I13/2!I15</f>
        <v>6.69109753346653</v>
      </c>
      <c r="J17" s="134">
        <f>2!J13/2!J15</f>
        <v>1.2314284067253611</v>
      </c>
      <c r="K17" s="134">
        <f>2!K13/2!K15</f>
        <v>1.4010623636685642</v>
      </c>
    </row>
    <row r="18" spans="1:11" ht="13.5" thickBot="1">
      <c r="A18" s="123" t="s">
        <v>47</v>
      </c>
      <c r="B18" s="128"/>
      <c r="C18" s="128"/>
      <c r="D18" s="128"/>
      <c r="E18" s="128"/>
      <c r="F18" s="128"/>
      <c r="G18" s="128"/>
      <c r="H18" s="128"/>
      <c r="I18" s="128"/>
      <c r="J18" s="128"/>
      <c r="K18" s="128"/>
    </row>
    <row r="19" spans="1:11" ht="12.75">
      <c r="A19" s="130" t="s">
        <v>48</v>
      </c>
      <c r="B19" s="135">
        <f>2!B11/2!B16</f>
        <v>0.7778665282516506</v>
      </c>
      <c r="C19" s="135">
        <f>2!C11/2!C16</f>
        <v>0.9678049393022979</v>
      </c>
      <c r="D19" s="135">
        <f>2!D11/2!D16</f>
        <v>0.8008105581484479</v>
      </c>
      <c r="E19" s="135">
        <f>2!E11/2!E16</f>
        <v>0.943566885759586</v>
      </c>
      <c r="F19" s="135">
        <f>2!F11/2!F16</f>
        <v>0.6232180215887988</v>
      </c>
      <c r="G19" s="135">
        <f>2!G11/2!G16</f>
        <v>0.710221182900323</v>
      </c>
      <c r="H19" s="135">
        <f>2!H11/2!H16</f>
        <v>0.6409736067248355</v>
      </c>
      <c r="I19" s="135">
        <f>2!I11/2!I16</f>
        <v>1.6874286700806742</v>
      </c>
      <c r="J19" s="135">
        <f>2!J11/2!J16</f>
        <v>0.3347037897295813</v>
      </c>
      <c r="K19" s="135">
        <f>2!K11/2!K16</f>
        <v>5.0593009390453005</v>
      </c>
    </row>
    <row r="20" spans="1:11" ht="13.5" thickBot="1">
      <c r="A20" s="133" t="s">
        <v>46</v>
      </c>
      <c r="B20" s="134">
        <f>2!B13/2!B18</f>
        <v>1.1524202119048097</v>
      </c>
      <c r="C20" s="134">
        <f>2!C13/2!C18</f>
        <v>1.2401145309699464</v>
      </c>
      <c r="D20" s="134">
        <f>2!D13/2!D18</f>
        <v>1.149011393858534</v>
      </c>
      <c r="E20" s="134">
        <f>2!E13/2!E18</f>
        <v>1.229354135241133</v>
      </c>
      <c r="F20" s="134">
        <f>2!F13/2!F18</f>
        <v>1.2052208953533514</v>
      </c>
      <c r="G20" s="134">
        <f>2!G13/2!G18</f>
        <v>1.3981834256048917</v>
      </c>
      <c r="H20" s="134">
        <f>2!H13/2!H18</f>
        <v>0.5980190404781773</v>
      </c>
      <c r="I20" s="134">
        <f>2!I13/2!I18</f>
        <v>1.0881425664727817</v>
      </c>
      <c r="J20" s="134">
        <f>2!J13/2!J18</f>
        <v>1.1260361431107766</v>
      </c>
      <c r="K20" s="134">
        <f>2!K13/2!K18</f>
        <v>1.3762603220673544</v>
      </c>
    </row>
    <row r="21" spans="1:11" ht="13.5" thickBot="1">
      <c r="A21" s="123" t="s">
        <v>49</v>
      </c>
      <c r="B21" s="128"/>
      <c r="C21" s="128"/>
      <c r="D21" s="128"/>
      <c r="E21" s="128"/>
      <c r="F21" s="128"/>
      <c r="G21" s="128"/>
      <c r="H21" s="128"/>
      <c r="I21" s="128"/>
      <c r="J21" s="128"/>
      <c r="K21" s="128"/>
    </row>
    <row r="22" spans="1:11" ht="13.5" thickBot="1">
      <c r="A22" s="136" t="s">
        <v>55</v>
      </c>
      <c r="B22" s="126">
        <f>2!B24/2!B13</f>
        <v>0.12638871063596976</v>
      </c>
      <c r="C22" s="126">
        <f>2!C24/2!C13</f>
        <v>0.1936228668874478</v>
      </c>
      <c r="D22" s="126">
        <f>2!D24/2!D13</f>
        <v>0.1296866116176882</v>
      </c>
      <c r="E22" s="126">
        <f>2!E24/2!E13</f>
        <v>0.1865647407137218</v>
      </c>
      <c r="F22" s="126">
        <f>2!F24/2!F13</f>
        <v>0.1702765826120066</v>
      </c>
      <c r="G22" s="126">
        <f>2!G24/2!G13</f>
        <v>0.28478625787787953</v>
      </c>
      <c r="H22" s="126">
        <f>2!H24/2!H13</f>
        <v>-0.6721875261712531</v>
      </c>
      <c r="I22" s="126">
        <f>2!I24/2!I13</f>
        <v>0.08100277407444523</v>
      </c>
      <c r="J22" s="126">
        <f>2!J24/2!J13</f>
        <v>0.11192905604331863</v>
      </c>
      <c r="K22" s="126">
        <f>2!K24/2!K13</f>
        <v>0.2733932749200011</v>
      </c>
    </row>
    <row r="23" spans="1:11" ht="13.5" thickBot="1">
      <c r="A23" s="123" t="s">
        <v>50</v>
      </c>
      <c r="B23" s="128"/>
      <c r="C23" s="128"/>
      <c r="D23" s="128"/>
      <c r="E23" s="128"/>
      <c r="F23" s="128"/>
      <c r="G23" s="128"/>
      <c r="H23" s="128"/>
      <c r="I23" s="128"/>
      <c r="J23" s="128"/>
      <c r="K23" s="128"/>
    </row>
    <row r="24" spans="1:11" ht="12.75">
      <c r="A24" s="130" t="s">
        <v>59</v>
      </c>
      <c r="B24" s="135">
        <f>2!B36/2!B28</f>
        <v>0.020443628484471565</v>
      </c>
      <c r="C24" s="135">
        <f>2!C36/2!C28</f>
        <v>0.04028124140946923</v>
      </c>
      <c r="D24" s="135">
        <f>2!D36/2!D28</f>
        <v>0.02672481159246901</v>
      </c>
      <c r="E24" s="135">
        <f>2!E36/2!E28</f>
        <v>0.06362536166036203</v>
      </c>
      <c r="F24" s="135">
        <f>2!F36/2!F28</f>
        <v>0.09532574734718373</v>
      </c>
      <c r="G24" s="135">
        <f>2!G36/2!G28</f>
        <v>0.10136682241319885</v>
      </c>
      <c r="H24" s="135">
        <f>2!H36/2!H28</f>
        <v>-0.040289570370047705</v>
      </c>
      <c r="I24" s="135">
        <f>2!I36/2!I28</f>
        <v>-0.02522865588079834</v>
      </c>
      <c r="J24" s="135">
        <f>2!J36/2!J28</f>
        <v>-0.019460220075285282</v>
      </c>
      <c r="K24" s="135">
        <f>2!K36/2!K28</f>
        <v>-0.06139154610955549</v>
      </c>
    </row>
    <row r="25" spans="1:11" ht="13.5" thickBot="1">
      <c r="A25" s="133" t="s">
        <v>51</v>
      </c>
      <c r="B25" s="134">
        <f>2!B37/2!B30</f>
        <v>0.02826786860858762</v>
      </c>
      <c r="C25" s="134">
        <f>2!C37/2!C30</f>
        <v>0.023358187430839474</v>
      </c>
      <c r="D25" s="134">
        <f>2!D37/2!D30</f>
        <v>0.03808437661773429</v>
      </c>
      <c r="E25" s="134">
        <f>2!E37/2!E30</f>
        <v>0.023785258919044098</v>
      </c>
      <c r="F25" s="134">
        <f>2!F37/2!F30</f>
        <v>0.03929443919342595</v>
      </c>
      <c r="G25" s="134">
        <f>2!G37/2!G30</f>
        <v>0.02278851390569742</v>
      </c>
      <c r="H25" s="134">
        <f>2!H37/2!H30</f>
        <v>-0.1040873215340087</v>
      </c>
      <c r="I25" s="134">
        <f>2!I37/2!I30</f>
        <v>-0.04061303681608553</v>
      </c>
      <c r="J25" s="134">
        <f>2!J37/2!J30</f>
        <v>-0.023381657453762045</v>
      </c>
      <c r="K25" s="134">
        <f>2!K37/2!K30</f>
        <v>0.030238949599897084</v>
      </c>
    </row>
    <row r="26" spans="1:11" ht="13.5" thickBot="1">
      <c r="A26" s="123" t="s">
        <v>52</v>
      </c>
      <c r="B26" s="137"/>
      <c r="C26" s="137"/>
      <c r="D26" s="137"/>
      <c r="E26" s="137"/>
      <c r="F26" s="137"/>
      <c r="G26" s="137"/>
      <c r="H26" s="137"/>
      <c r="I26" s="137"/>
      <c r="J26" s="137"/>
      <c r="K26" s="137"/>
    </row>
    <row r="27" spans="1:11" ht="13.5" thickBot="1">
      <c r="A27" s="139" t="s">
        <v>53</v>
      </c>
      <c r="B27" s="273">
        <f>2!B10-2!B15</f>
        <v>-537680113</v>
      </c>
      <c r="C27" s="273">
        <f>2!C10-2!C15</f>
        <v>-567739566</v>
      </c>
      <c r="D27" s="273">
        <f>2!D10-2!D15</f>
        <v>-587984272</v>
      </c>
      <c r="E27" s="273">
        <f>2!E10-2!E15</f>
        <v>-542632076</v>
      </c>
      <c r="F27" s="273">
        <f>2!F10-2!F15</f>
        <v>-3545</v>
      </c>
      <c r="G27" s="273">
        <f>2!G10-2!G15</f>
        <v>-8157783</v>
      </c>
      <c r="H27" s="273">
        <f>2!H10-2!H15</f>
        <v>-5263832</v>
      </c>
      <c r="I27" s="140">
        <f>2!I10-2!I15</f>
        <v>2081967</v>
      </c>
      <c r="J27" s="140">
        <f>2!J10-2!J15</f>
        <v>17477027</v>
      </c>
      <c r="K27" s="273">
        <f>2!K10-2!K15</f>
        <v>-19031674</v>
      </c>
    </row>
    <row r="28" spans="1:11" ht="12.75">
      <c r="A28" s="142" t="s">
        <v>83</v>
      </c>
      <c r="B28" s="143"/>
      <c r="C28" s="143"/>
      <c r="D28" s="143"/>
      <c r="E28" s="143"/>
      <c r="F28" s="143"/>
      <c r="G28" s="143"/>
      <c r="H28" s="143"/>
      <c r="I28" s="143"/>
      <c r="J28" s="143"/>
      <c r="K28" s="143"/>
    </row>
    <row r="29" spans="1:11" ht="12.75">
      <c r="A29" s="7"/>
      <c r="B29" s="8"/>
      <c r="C29" s="8"/>
      <c r="D29" s="8"/>
      <c r="E29" s="8"/>
      <c r="F29" s="8"/>
      <c r="G29" s="8"/>
      <c r="H29" s="8"/>
      <c r="I29" s="8"/>
      <c r="J29" s="8"/>
      <c r="K29" s="8"/>
    </row>
    <row r="44" ht="12.75">
      <c r="A44" s="114"/>
    </row>
    <row r="45" ht="12.75">
      <c r="A45" s="115"/>
    </row>
    <row r="46" spans="1:9" ht="12.75">
      <c r="A46" s="69"/>
      <c r="B46" s="25"/>
      <c r="C46" s="25"/>
      <c r="D46" s="25"/>
      <c r="E46" s="25"/>
      <c r="F46" s="25"/>
      <c r="G46" s="25"/>
      <c r="H46" s="25"/>
      <c r="I46" s="25"/>
    </row>
    <row r="47" spans="1:9" ht="12.75">
      <c r="A47" s="147"/>
      <c r="B47" s="25"/>
      <c r="C47" s="25"/>
      <c r="D47" s="25"/>
      <c r="E47" s="25"/>
      <c r="F47" s="25"/>
      <c r="G47" s="25"/>
      <c r="H47" s="25"/>
      <c r="I47" s="25"/>
    </row>
    <row r="48" spans="1:9" ht="12.75">
      <c r="A48" s="69"/>
      <c r="B48" s="25"/>
      <c r="C48" s="25"/>
      <c r="D48" s="25"/>
      <c r="E48" s="25"/>
      <c r="F48" s="25"/>
      <c r="G48" s="25"/>
      <c r="H48" s="25"/>
      <c r="I48" s="25"/>
    </row>
    <row r="49" spans="1:9" ht="12.75">
      <c r="A49" s="69"/>
      <c r="B49" s="25"/>
      <c r="C49" s="25"/>
      <c r="D49" s="25"/>
      <c r="E49" s="25"/>
      <c r="F49" s="25"/>
      <c r="G49" s="25"/>
      <c r="H49" s="25"/>
      <c r="I49" s="25"/>
    </row>
    <row r="50" spans="1:9" ht="12.75">
      <c r="A50" s="69"/>
      <c r="B50" s="25"/>
      <c r="C50" s="25"/>
      <c r="D50" s="25"/>
      <c r="E50" s="25"/>
      <c r="F50" s="25"/>
      <c r="G50" s="25"/>
      <c r="H50" s="25"/>
      <c r="I50" s="25"/>
    </row>
    <row r="51" spans="1:9" ht="12.75">
      <c r="A51" s="145"/>
      <c r="B51" s="154"/>
      <c r="C51" s="154"/>
      <c r="D51" s="146"/>
      <c r="E51" s="146"/>
      <c r="F51" s="153"/>
      <c r="G51" s="153"/>
      <c r="H51" s="153"/>
      <c r="I51" s="153"/>
    </row>
    <row r="52" spans="1:9" ht="12.75">
      <c r="A52" s="151"/>
      <c r="B52" s="146"/>
      <c r="C52" s="146"/>
      <c r="D52" s="146"/>
      <c r="E52" s="146"/>
      <c r="F52" s="146"/>
      <c r="G52" s="146"/>
      <c r="H52" s="146"/>
      <c r="I52" s="146"/>
    </row>
    <row r="53" spans="1:9" ht="12.75">
      <c r="A53" s="148"/>
      <c r="B53" s="124"/>
      <c r="C53" s="124"/>
      <c r="D53" s="124"/>
      <c r="E53" s="124"/>
      <c r="F53" s="124"/>
      <c r="G53" s="124"/>
      <c r="H53" s="124"/>
      <c r="I53" s="124"/>
    </row>
    <row r="54" spans="1:9" ht="12.75">
      <c r="A54" s="152"/>
      <c r="B54" s="127"/>
      <c r="C54" s="127"/>
      <c r="D54" s="127"/>
      <c r="E54" s="127"/>
      <c r="F54" s="127"/>
      <c r="G54" s="127"/>
      <c r="H54" s="127"/>
      <c r="I54" s="127"/>
    </row>
    <row r="55" spans="1:9" ht="12.75">
      <c r="A55" s="148"/>
      <c r="B55" s="129"/>
      <c r="C55" s="129"/>
      <c r="D55" s="129"/>
      <c r="E55" s="129"/>
      <c r="F55" s="129"/>
      <c r="G55" s="129"/>
      <c r="H55" s="129"/>
      <c r="I55" s="129"/>
    </row>
    <row r="56" spans="1:9" ht="12.75">
      <c r="A56" s="149"/>
      <c r="B56" s="129"/>
      <c r="C56" s="129"/>
      <c r="D56" s="129"/>
      <c r="E56" s="129"/>
      <c r="F56" s="129"/>
      <c r="G56" s="129"/>
      <c r="H56" s="129"/>
      <c r="I56" s="129"/>
    </row>
    <row r="57" spans="1:9" ht="12.75">
      <c r="A57" s="149"/>
      <c r="B57" s="127"/>
      <c r="C57" s="127"/>
      <c r="D57" s="127"/>
      <c r="E57" s="127"/>
      <c r="F57" s="127"/>
      <c r="G57" s="127"/>
      <c r="H57" s="127"/>
      <c r="I57" s="127"/>
    </row>
    <row r="58" spans="1:9" ht="12.75">
      <c r="A58" s="150"/>
      <c r="B58" s="127"/>
      <c r="C58" s="127"/>
      <c r="D58" s="127"/>
      <c r="E58" s="127"/>
      <c r="F58" s="127"/>
      <c r="G58" s="127"/>
      <c r="H58" s="127"/>
      <c r="I58" s="127"/>
    </row>
    <row r="59" spans="1:9" ht="12.75">
      <c r="A59" s="149"/>
      <c r="B59" s="127"/>
      <c r="C59" s="127"/>
      <c r="D59" s="127"/>
      <c r="E59" s="127"/>
      <c r="F59" s="127"/>
      <c r="G59" s="127"/>
      <c r="H59" s="127"/>
      <c r="I59" s="127"/>
    </row>
    <row r="60" spans="1:9" ht="12.75">
      <c r="A60" s="148"/>
      <c r="B60" s="129"/>
      <c r="C60" s="129"/>
      <c r="D60" s="129"/>
      <c r="E60" s="129"/>
      <c r="F60" s="129"/>
      <c r="G60" s="129"/>
      <c r="H60" s="129"/>
      <c r="I60" s="129"/>
    </row>
    <row r="61" spans="1:9" ht="12.75">
      <c r="A61" s="149"/>
      <c r="B61" s="127"/>
      <c r="C61" s="127"/>
      <c r="D61" s="127"/>
      <c r="E61" s="127"/>
      <c r="F61" s="127"/>
      <c r="G61" s="127"/>
      <c r="H61" s="127"/>
      <c r="I61" s="127"/>
    </row>
    <row r="62" spans="1:9" ht="12.75">
      <c r="A62" s="149"/>
      <c r="B62" s="127"/>
      <c r="C62" s="127"/>
      <c r="D62" s="127"/>
      <c r="E62" s="127"/>
      <c r="F62" s="127"/>
      <c r="G62" s="127"/>
      <c r="H62" s="127"/>
      <c r="I62" s="127"/>
    </row>
    <row r="63" spans="1:9" ht="12.75">
      <c r="A63" s="148"/>
      <c r="B63" s="129"/>
      <c r="C63" s="129"/>
      <c r="D63" s="129"/>
      <c r="E63" s="129"/>
      <c r="F63" s="129"/>
      <c r="G63" s="129"/>
      <c r="H63" s="129"/>
      <c r="I63" s="129"/>
    </row>
    <row r="64" spans="1:9" ht="12.75">
      <c r="A64" s="149"/>
      <c r="B64" s="127"/>
      <c r="C64" s="127"/>
      <c r="D64" s="127"/>
      <c r="E64" s="127"/>
      <c r="F64" s="127"/>
      <c r="G64" s="127"/>
      <c r="H64" s="127"/>
      <c r="I64" s="127"/>
    </row>
    <row r="65" spans="1:9" ht="12.75">
      <c r="A65" s="149"/>
      <c r="B65" s="127"/>
      <c r="C65" s="127"/>
      <c r="D65" s="127"/>
      <c r="E65" s="127"/>
      <c r="F65" s="127"/>
      <c r="G65" s="127"/>
      <c r="H65" s="127"/>
      <c r="I65" s="127"/>
    </row>
    <row r="66" spans="1:9" ht="12.75">
      <c r="A66" s="148"/>
      <c r="B66" s="129"/>
      <c r="C66" s="129"/>
      <c r="D66" s="129"/>
      <c r="E66" s="129"/>
      <c r="F66" s="129"/>
      <c r="G66" s="129"/>
      <c r="H66" s="129"/>
      <c r="I66" s="129"/>
    </row>
    <row r="67" spans="1:9" ht="12.75">
      <c r="A67" s="149"/>
      <c r="B67" s="127"/>
      <c r="C67" s="127"/>
      <c r="D67" s="127"/>
      <c r="E67" s="127"/>
      <c r="F67" s="127"/>
      <c r="G67" s="127"/>
      <c r="H67" s="127"/>
      <c r="I67" s="127"/>
    </row>
    <row r="68" spans="1:9" ht="12.75">
      <c r="A68" s="148"/>
      <c r="B68" s="129"/>
      <c r="C68" s="129"/>
      <c r="D68" s="129"/>
      <c r="E68" s="129"/>
      <c r="F68" s="129"/>
      <c r="G68" s="129"/>
      <c r="H68" s="129"/>
      <c r="I68" s="129"/>
    </row>
    <row r="69" spans="1:9" ht="12.75">
      <c r="A69" s="149"/>
      <c r="B69" s="127"/>
      <c r="C69" s="127"/>
      <c r="D69" s="127"/>
      <c r="E69" s="127"/>
      <c r="F69" s="127"/>
      <c r="G69" s="127"/>
      <c r="H69" s="127"/>
      <c r="I69" s="127"/>
    </row>
    <row r="70" spans="1:9" ht="12.75">
      <c r="A70" s="149"/>
      <c r="B70" s="127"/>
      <c r="C70" s="127"/>
      <c r="D70" s="127"/>
      <c r="E70" s="127"/>
      <c r="F70" s="127"/>
      <c r="G70" s="127"/>
      <c r="H70" s="127"/>
      <c r="I70" s="127"/>
    </row>
    <row r="71" spans="1:9" ht="12.75">
      <c r="A71" s="148"/>
      <c r="B71" s="138"/>
      <c r="C71" s="138"/>
      <c r="D71" s="138"/>
      <c r="E71" s="138"/>
      <c r="F71" s="138"/>
      <c r="G71" s="138"/>
      <c r="H71" s="138"/>
      <c r="I71" s="138"/>
    </row>
    <row r="72" spans="1:9" ht="12.75">
      <c r="A72" s="150"/>
      <c r="B72" s="141"/>
      <c r="C72" s="141"/>
      <c r="D72" s="141"/>
      <c r="E72" s="141"/>
      <c r="F72" s="141"/>
      <c r="G72" s="141"/>
      <c r="H72" s="141"/>
      <c r="I72" s="141"/>
    </row>
  </sheetData>
  <sheetProtection/>
  <mergeCells count="6">
    <mergeCell ref="D6:E6"/>
    <mergeCell ref="F6:G6"/>
    <mergeCell ref="H6:I6"/>
    <mergeCell ref="J6:K6"/>
    <mergeCell ref="A6:A7"/>
    <mergeCell ref="B6:C6"/>
  </mergeCells>
  <printOptions/>
  <pageMargins left="1.6535433070866143" right="0.9448818897637796" top="0.9055118110236221" bottom="0.3937007874015748" header="0" footer="0"/>
  <pageSetup horizontalDpi="300" verticalDpi="300" orientation="landscape" paperSize="45" scale="90" r:id="rId3"/>
  <legacyDrawing r:id="rId2"/>
  <oleObjects>
    <oleObject progId="MSPhotoEd.3" shapeId="303058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CO172"/>
  <sheetViews>
    <sheetView tabSelected="1" zoomScalePageLayoutView="0" workbookViewId="0" topLeftCell="A1">
      <pane xSplit="1" ySplit="7" topLeftCell="B20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38" sqref="A38:D38"/>
    </sheetView>
  </sheetViews>
  <sheetFormatPr defaultColWidth="11.421875" defaultRowHeight="12.75"/>
  <cols>
    <col min="1" max="1" width="26.00390625" style="0" customWidth="1"/>
    <col min="2" max="3" width="12.57421875" style="0" customWidth="1"/>
    <col min="4" max="5" width="13.28125" style="0" customWidth="1"/>
    <col min="6" max="6" width="12.28125" style="0" customWidth="1"/>
    <col min="7" max="7" width="12.421875" style="0" customWidth="1"/>
    <col min="8" max="9" width="12.57421875" style="0" customWidth="1"/>
    <col min="10" max="15" width="11.421875" style="90" customWidth="1"/>
  </cols>
  <sheetData>
    <row r="1" spans="1:89" ht="13.5">
      <c r="A1" s="23" t="s">
        <v>84</v>
      </c>
      <c r="Q1" s="5"/>
      <c r="R1" s="5"/>
      <c r="U1" s="5"/>
      <c r="V1" s="5"/>
      <c r="W1" s="5"/>
      <c r="X1" s="5"/>
      <c r="BU1" s="3"/>
      <c r="BV1" s="3"/>
      <c r="CK1" s="13"/>
    </row>
    <row r="2" spans="1:89" ht="13.5">
      <c r="A2" s="24" t="s">
        <v>71</v>
      </c>
      <c r="Q2" s="5"/>
      <c r="R2" s="5"/>
      <c r="U2" s="5"/>
      <c r="V2" s="5"/>
      <c r="W2" s="5"/>
      <c r="X2" s="5"/>
      <c r="BU2" s="3"/>
      <c r="BV2" s="3"/>
      <c r="CK2" s="13"/>
    </row>
    <row r="3" spans="1:89" ht="13.5">
      <c r="A3" s="23" t="s">
        <v>72</v>
      </c>
      <c r="Q3" s="5"/>
      <c r="R3" s="5"/>
      <c r="U3" s="5"/>
      <c r="V3" s="5"/>
      <c r="W3" s="5"/>
      <c r="X3" s="5"/>
      <c r="BU3" s="3"/>
      <c r="BV3" s="3"/>
      <c r="CK3" s="13"/>
    </row>
    <row r="4" spans="1:89" ht="13.5">
      <c r="A4" s="23" t="s">
        <v>110</v>
      </c>
      <c r="D4" s="89"/>
      <c r="E4" s="89"/>
      <c r="F4" s="157"/>
      <c r="G4" s="157"/>
      <c r="Q4" s="5"/>
      <c r="R4" s="5"/>
      <c r="U4" s="5"/>
      <c r="V4" s="5"/>
      <c r="W4" s="5"/>
      <c r="X4" s="5"/>
      <c r="BU4" s="3"/>
      <c r="BV4" s="3"/>
      <c r="CK4" s="13"/>
    </row>
    <row r="5" spans="1:89" ht="14.25" thickBot="1">
      <c r="A5" s="23" t="s">
        <v>68</v>
      </c>
      <c r="B5" s="89"/>
      <c r="C5" s="89"/>
      <c r="F5" s="157"/>
      <c r="Q5" s="5"/>
      <c r="R5" s="5"/>
      <c r="U5" s="5"/>
      <c r="V5" s="5"/>
      <c r="W5" s="5"/>
      <c r="X5" s="5"/>
      <c r="BU5" s="3"/>
      <c r="BV5" s="3"/>
      <c r="CK5" s="13"/>
    </row>
    <row r="6" spans="1:93" s="2" customFormat="1" ht="17.25" customHeight="1" thickBot="1">
      <c r="A6" s="372" t="s">
        <v>56</v>
      </c>
      <c r="B6" s="368" t="s">
        <v>106</v>
      </c>
      <c r="C6" s="369"/>
      <c r="D6" s="370" t="s">
        <v>1</v>
      </c>
      <c r="E6" s="369"/>
      <c r="F6" s="368" t="s">
        <v>104</v>
      </c>
      <c r="G6" s="369"/>
      <c r="H6" s="368" t="s">
        <v>105</v>
      </c>
      <c r="I6" s="370"/>
      <c r="J6" s="368" t="s">
        <v>2</v>
      </c>
      <c r="K6" s="369"/>
      <c r="L6" s="214"/>
      <c r="M6" s="371"/>
      <c r="N6" s="371"/>
      <c r="O6" s="359"/>
      <c r="P6" s="359"/>
      <c r="Q6" s="358"/>
      <c r="R6" s="358"/>
      <c r="S6" s="358"/>
      <c r="T6" s="358"/>
      <c r="U6" s="358"/>
      <c r="V6" s="358"/>
      <c r="W6" s="357"/>
      <c r="X6" s="357"/>
      <c r="Y6" s="358"/>
      <c r="Z6" s="358"/>
      <c r="AA6" s="357"/>
      <c r="AB6" s="357"/>
      <c r="AC6" s="363"/>
      <c r="AD6" s="363"/>
      <c r="AE6" s="358"/>
      <c r="AF6" s="358"/>
      <c r="AG6" s="361"/>
      <c r="AH6" s="361"/>
      <c r="AI6" s="362"/>
      <c r="AJ6" s="362"/>
      <c r="AK6" s="361"/>
      <c r="AL6" s="361"/>
      <c r="AM6" s="360"/>
      <c r="AN6" s="360"/>
      <c r="AO6" s="361"/>
      <c r="AP6" s="361"/>
      <c r="AQ6" s="361"/>
      <c r="AR6" s="361"/>
      <c r="AS6" s="361"/>
      <c r="AT6" s="361"/>
      <c r="AU6" s="358"/>
      <c r="AV6" s="358"/>
      <c r="AW6" s="358"/>
      <c r="AX6" s="358"/>
      <c r="AY6" s="358"/>
      <c r="AZ6" s="358"/>
      <c r="BA6" s="358"/>
      <c r="BB6" s="358"/>
      <c r="BC6" s="360"/>
      <c r="BD6" s="360"/>
      <c r="BE6" s="361"/>
      <c r="BF6" s="361"/>
      <c r="BG6" s="360"/>
      <c r="BH6" s="360"/>
      <c r="BI6" s="364"/>
      <c r="BJ6" s="364"/>
      <c r="BK6" s="361"/>
      <c r="BL6" s="361"/>
      <c r="BM6" s="361"/>
      <c r="BN6" s="361"/>
      <c r="BO6" s="359"/>
      <c r="BP6" s="359"/>
      <c r="BQ6" s="359"/>
      <c r="BR6" s="359"/>
      <c r="BS6" s="362"/>
      <c r="BT6" s="362"/>
      <c r="BU6" s="358"/>
      <c r="BV6" s="358"/>
      <c r="BW6" s="359"/>
      <c r="BX6" s="359"/>
      <c r="BY6" s="359"/>
      <c r="BZ6" s="359"/>
      <c r="CA6" s="359"/>
      <c r="CB6" s="359"/>
      <c r="CC6" s="359"/>
      <c r="CD6" s="359"/>
      <c r="CE6" s="359"/>
      <c r="CF6" s="359"/>
      <c r="CG6" s="359"/>
      <c r="CH6" s="359"/>
      <c r="CI6" s="359"/>
      <c r="CJ6" s="359"/>
      <c r="CK6" s="359"/>
      <c r="CL6" s="359"/>
      <c r="CM6" s="359"/>
      <c r="CN6" s="359"/>
      <c r="CO6" s="51"/>
    </row>
    <row r="7" spans="1:93" s="2" customFormat="1" ht="13.5" thickBot="1">
      <c r="A7" s="373"/>
      <c r="B7" s="208">
        <v>40695</v>
      </c>
      <c r="C7" s="208">
        <v>41061</v>
      </c>
      <c r="D7" s="208">
        <v>40695</v>
      </c>
      <c r="E7" s="208">
        <v>41061</v>
      </c>
      <c r="F7" s="208">
        <v>40695</v>
      </c>
      <c r="G7" s="208">
        <v>41061</v>
      </c>
      <c r="H7" s="208">
        <v>40695</v>
      </c>
      <c r="I7" s="208">
        <v>41061</v>
      </c>
      <c r="J7" s="208">
        <v>40695</v>
      </c>
      <c r="K7" s="208">
        <v>41061</v>
      </c>
      <c r="L7" s="92"/>
      <c r="M7" s="92"/>
      <c r="N7" s="92"/>
      <c r="O7" s="92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51"/>
    </row>
    <row r="8" spans="1:93" s="2" customFormat="1" ht="15" customHeight="1">
      <c r="A8" s="53" t="s">
        <v>11</v>
      </c>
      <c r="B8" s="178"/>
      <c r="C8" s="178"/>
      <c r="D8" s="58"/>
      <c r="E8" s="58"/>
      <c r="F8" s="58"/>
      <c r="G8" s="172"/>
      <c r="H8" s="58"/>
      <c r="I8" s="58"/>
      <c r="J8" s="215"/>
      <c r="K8" s="215"/>
      <c r="L8" s="92"/>
      <c r="M8" s="92"/>
      <c r="N8" s="92"/>
      <c r="O8" s="92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51"/>
    </row>
    <row r="9" spans="1:93" s="2" customFormat="1" ht="15" customHeight="1">
      <c r="A9" s="54" t="s">
        <v>12</v>
      </c>
      <c r="B9" s="59"/>
      <c r="C9" s="59"/>
      <c r="D9" s="59"/>
      <c r="E9" s="59"/>
      <c r="F9" s="59"/>
      <c r="G9" s="173"/>
      <c r="H9" s="59"/>
      <c r="I9" s="59"/>
      <c r="J9" s="216"/>
      <c r="K9" s="216"/>
      <c r="L9" s="93"/>
      <c r="M9" s="93"/>
      <c r="N9" s="93"/>
      <c r="O9" s="93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51"/>
    </row>
    <row r="10" spans="1:93" ht="15" customHeight="1">
      <c r="A10" s="55" t="s">
        <v>13</v>
      </c>
      <c r="B10" s="60">
        <f aca="true" t="shared" si="0" ref="B10:B37">+E10+H10+J10</f>
        <v>1287374893</v>
      </c>
      <c r="C10" s="60">
        <f aca="true" t="shared" si="1" ref="C10:C37">+F10+I10+K10</f>
        <v>1470784352</v>
      </c>
      <c r="D10" s="60">
        <v>109217969</v>
      </c>
      <c r="E10" s="60">
        <v>267363673</v>
      </c>
      <c r="F10" s="60"/>
      <c r="G10" s="174">
        <v>15982811</v>
      </c>
      <c r="H10" s="60">
        <v>952478000</v>
      </c>
      <c r="I10" s="60">
        <v>1095338000</v>
      </c>
      <c r="J10" s="60">
        <v>67533220</v>
      </c>
      <c r="K10" s="60">
        <v>375446352</v>
      </c>
      <c r="L10" s="94"/>
      <c r="M10" s="94"/>
      <c r="N10" s="94"/>
      <c r="O10" s="94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5"/>
    </row>
    <row r="11" spans="1:93" ht="15" customHeight="1">
      <c r="A11" s="55" t="s">
        <v>14</v>
      </c>
      <c r="B11" s="60">
        <f t="shared" si="0"/>
        <v>1571752979</v>
      </c>
      <c r="C11" s="60">
        <f t="shared" si="1"/>
        <v>1909733142</v>
      </c>
      <c r="D11" s="60">
        <v>4581359</v>
      </c>
      <c r="E11" s="60">
        <v>3785205</v>
      </c>
      <c r="F11" s="60"/>
      <c r="G11" s="174">
        <v>242446</v>
      </c>
      <c r="H11" s="60">
        <v>1565320000</v>
      </c>
      <c r="I11" s="60">
        <v>1881432000</v>
      </c>
      <c r="J11" s="60">
        <v>2647774</v>
      </c>
      <c r="K11" s="60">
        <v>28301142</v>
      </c>
      <c r="L11" s="94"/>
      <c r="M11" s="94"/>
      <c r="N11" s="94"/>
      <c r="O11" s="94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5"/>
    </row>
    <row r="12" spans="1:93" ht="15" customHeight="1">
      <c r="A12" s="55" t="s">
        <v>15</v>
      </c>
      <c r="B12" s="60">
        <f t="shared" si="0"/>
        <v>1550848847</v>
      </c>
      <c r="C12" s="60">
        <f t="shared" si="1"/>
        <v>1627634129</v>
      </c>
      <c r="D12" s="60">
        <f>30099872+25180872+12540926+1458584</f>
        <v>69280254</v>
      </c>
      <c r="E12" s="60">
        <f>5323367+5362890</f>
        <v>10686257</v>
      </c>
      <c r="F12" s="60"/>
      <c r="G12" s="174">
        <f>3672076+7960811</f>
        <v>11632887</v>
      </c>
      <c r="H12" s="60">
        <f>431028000+159498000+159971000+134923000+18328000+122267000+418756000</f>
        <v>1444771000</v>
      </c>
      <c r="I12" s="60">
        <f>4535436000-I11-I10</f>
        <v>1558666000</v>
      </c>
      <c r="J12" s="60">
        <f>76987005+14975707+3428878</f>
        <v>95391590</v>
      </c>
      <c r="K12" s="60">
        <f>52196757+13342494+3428878</f>
        <v>68968129</v>
      </c>
      <c r="L12" s="94"/>
      <c r="M12" s="94"/>
      <c r="N12" s="94"/>
      <c r="O12" s="94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5"/>
    </row>
    <row r="13" spans="1:93" s="4" customFormat="1" ht="15" customHeight="1">
      <c r="A13" s="54" t="s">
        <v>16</v>
      </c>
      <c r="B13" s="61">
        <f t="shared" si="0"/>
        <v>4409976719</v>
      </c>
      <c r="C13" s="61">
        <f t="shared" si="1"/>
        <v>5008151623</v>
      </c>
      <c r="D13" s="62">
        <f aca="true" t="shared" si="2" ref="D13:K13">SUM(D10:D12)</f>
        <v>183079582</v>
      </c>
      <c r="E13" s="62">
        <f t="shared" si="2"/>
        <v>281835135</v>
      </c>
      <c r="F13" s="62">
        <f t="shared" si="2"/>
        <v>0</v>
      </c>
      <c r="G13" s="175">
        <f t="shared" si="2"/>
        <v>27858144</v>
      </c>
      <c r="H13" s="62">
        <f t="shared" si="2"/>
        <v>3962569000</v>
      </c>
      <c r="I13" s="62">
        <f t="shared" si="2"/>
        <v>4535436000</v>
      </c>
      <c r="J13" s="62">
        <f t="shared" si="2"/>
        <v>165572584</v>
      </c>
      <c r="K13" s="62">
        <f t="shared" si="2"/>
        <v>472715623</v>
      </c>
      <c r="L13" s="95"/>
      <c r="M13" s="95"/>
      <c r="N13" s="95"/>
      <c r="O13" s="95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52"/>
    </row>
    <row r="14" spans="1:93" ht="15" customHeight="1">
      <c r="A14" s="54" t="s">
        <v>17</v>
      </c>
      <c r="B14" s="60">
        <f t="shared" si="0"/>
        <v>0</v>
      </c>
      <c r="C14" s="60">
        <f t="shared" si="1"/>
        <v>0</v>
      </c>
      <c r="D14" s="61"/>
      <c r="E14" s="61"/>
      <c r="F14" s="61"/>
      <c r="G14" s="176"/>
      <c r="H14" s="61"/>
      <c r="I14" s="61"/>
      <c r="J14" s="61"/>
      <c r="K14" s="61"/>
      <c r="L14" s="96"/>
      <c r="M14" s="96"/>
      <c r="N14" s="96"/>
      <c r="O14" s="96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25"/>
    </row>
    <row r="15" spans="1:93" ht="15" customHeight="1">
      <c r="A15" s="55" t="s">
        <v>18</v>
      </c>
      <c r="B15" s="60">
        <f t="shared" si="0"/>
        <v>1875359165</v>
      </c>
      <c r="C15" s="60">
        <f t="shared" si="1"/>
        <v>2013416428</v>
      </c>
      <c r="D15" s="60">
        <v>178996615</v>
      </c>
      <c r="E15" s="60">
        <v>275500721</v>
      </c>
      <c r="F15" s="60"/>
      <c r="G15" s="174">
        <v>9580166</v>
      </c>
      <c r="H15" s="60">
        <v>1356650000</v>
      </c>
      <c r="I15" s="60">
        <v>1610074000</v>
      </c>
      <c r="J15" s="60">
        <v>243208444</v>
      </c>
      <c r="K15" s="60">
        <v>403342428</v>
      </c>
      <c r="L15" s="94"/>
      <c r="M15" s="94"/>
      <c r="N15" s="94"/>
      <c r="O15" s="94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5"/>
    </row>
    <row r="16" spans="1:93" ht="15" customHeight="1">
      <c r="A16" s="56" t="s">
        <v>19</v>
      </c>
      <c r="B16" s="60">
        <f t="shared" si="0"/>
        <v>1962702618</v>
      </c>
      <c r="C16" s="60">
        <f t="shared" si="1"/>
        <v>2023951000</v>
      </c>
      <c r="D16" s="60"/>
      <c r="E16" s="60">
        <v>2144684</v>
      </c>
      <c r="F16" s="60"/>
      <c r="G16" s="174"/>
      <c r="H16" s="60">
        <v>1888818000</v>
      </c>
      <c r="I16" s="60">
        <v>2023951000</v>
      </c>
      <c r="J16" s="60">
        <v>71739934</v>
      </c>
      <c r="K16" s="60"/>
      <c r="L16" s="94"/>
      <c r="M16" s="94"/>
      <c r="N16" s="94"/>
      <c r="O16" s="94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5"/>
    </row>
    <row r="17" spans="1:93" ht="15" customHeight="1">
      <c r="A17" s="55" t="s">
        <v>20</v>
      </c>
      <c r="B17" s="60">
        <f t="shared" si="0"/>
        <v>0</v>
      </c>
      <c r="C17" s="60">
        <f t="shared" si="1"/>
        <v>36439687</v>
      </c>
      <c r="D17" s="60">
        <v>0</v>
      </c>
      <c r="E17" s="60">
        <v>0</v>
      </c>
      <c r="F17" s="60">
        <v>0</v>
      </c>
      <c r="G17" s="174">
        <v>0</v>
      </c>
      <c r="H17" s="60">
        <v>0</v>
      </c>
      <c r="I17" s="60">
        <v>0</v>
      </c>
      <c r="J17" s="60">
        <v>0</v>
      </c>
      <c r="K17" s="60">
        <v>36439687</v>
      </c>
      <c r="L17" s="94"/>
      <c r="M17" s="94"/>
      <c r="N17" s="94"/>
      <c r="O17" s="94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5"/>
    </row>
    <row r="18" spans="1:93" s="4" customFormat="1" ht="15" customHeight="1">
      <c r="A18" s="54" t="s">
        <v>21</v>
      </c>
      <c r="B18" s="61">
        <f t="shared" si="0"/>
        <v>3838061783</v>
      </c>
      <c r="C18" s="61">
        <f t="shared" si="1"/>
        <v>4073807115</v>
      </c>
      <c r="D18" s="62">
        <f aca="true" t="shared" si="3" ref="D18:K18">SUM(D15:D17)</f>
        <v>178996615</v>
      </c>
      <c r="E18" s="62">
        <f t="shared" si="3"/>
        <v>277645405</v>
      </c>
      <c r="F18" s="62">
        <f t="shared" si="3"/>
        <v>0</v>
      </c>
      <c r="G18" s="175">
        <f t="shared" si="3"/>
        <v>9580166</v>
      </c>
      <c r="H18" s="62">
        <f t="shared" si="3"/>
        <v>3245468000</v>
      </c>
      <c r="I18" s="62">
        <f t="shared" si="3"/>
        <v>3634025000</v>
      </c>
      <c r="J18" s="62">
        <f t="shared" si="3"/>
        <v>314948378</v>
      </c>
      <c r="K18" s="62">
        <f t="shared" si="3"/>
        <v>439782115</v>
      </c>
      <c r="L18" s="95"/>
      <c r="M18" s="95"/>
      <c r="N18" s="95"/>
      <c r="O18" s="95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52"/>
    </row>
    <row r="19" spans="1:93" ht="15" customHeight="1">
      <c r="A19" s="54" t="s">
        <v>22</v>
      </c>
      <c r="B19" s="60">
        <f t="shared" si="0"/>
        <v>0</v>
      </c>
      <c r="C19" s="60">
        <f t="shared" si="1"/>
        <v>0</v>
      </c>
      <c r="D19" s="61"/>
      <c r="E19" s="61"/>
      <c r="F19" s="61"/>
      <c r="G19" s="176"/>
      <c r="H19" s="61"/>
      <c r="I19" s="61"/>
      <c r="J19" s="61"/>
      <c r="K19" s="61"/>
      <c r="L19" s="96"/>
      <c r="M19" s="96"/>
      <c r="N19" s="96"/>
      <c r="O19" s="96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25"/>
    </row>
    <row r="20" spans="1:93" ht="15" customHeight="1">
      <c r="A20" s="55" t="s">
        <v>23</v>
      </c>
      <c r="B20" s="60">
        <f t="shared" si="0"/>
        <v>21171015</v>
      </c>
      <c r="C20" s="60">
        <f t="shared" si="1"/>
        <v>14188478</v>
      </c>
      <c r="D20" s="60">
        <v>6982568</v>
      </c>
      <c r="E20" s="60">
        <v>6982567</v>
      </c>
      <c r="F20" s="60"/>
      <c r="G20" s="174">
        <v>5975550</v>
      </c>
      <c r="H20" s="60">
        <v>8937000</v>
      </c>
      <c r="I20" s="60">
        <v>8937000</v>
      </c>
      <c r="J20" s="60">
        <v>5251448</v>
      </c>
      <c r="K20" s="60">
        <v>5251478</v>
      </c>
      <c r="L20" s="94"/>
      <c r="M20" s="94"/>
      <c r="N20" s="94"/>
      <c r="O20" s="94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5"/>
    </row>
    <row r="21" spans="1:93" s="195" customFormat="1" ht="15" customHeight="1">
      <c r="A21" s="196" t="s">
        <v>24</v>
      </c>
      <c r="B21" s="61">
        <f t="shared" si="0"/>
        <v>93472622</v>
      </c>
      <c r="C21" s="61">
        <f t="shared" si="1"/>
        <v>58108873</v>
      </c>
      <c r="D21" s="197">
        <v>-5445379</v>
      </c>
      <c r="E21" s="197">
        <v>-11474669</v>
      </c>
      <c r="F21" s="197"/>
      <c r="G21" s="198">
        <v>-2546902</v>
      </c>
      <c r="H21" s="61">
        <v>153210000</v>
      </c>
      <c r="I21" s="197">
        <v>160259000</v>
      </c>
      <c r="J21" s="197">
        <v>-48262709</v>
      </c>
      <c r="K21" s="197">
        <v>-102150127</v>
      </c>
      <c r="L21" s="199"/>
      <c r="M21" s="199"/>
      <c r="N21" s="199"/>
      <c r="O21" s="199"/>
      <c r="P21" s="193"/>
      <c r="Q21" s="193"/>
      <c r="R21" s="193"/>
      <c r="S21" s="193"/>
      <c r="T21" s="193"/>
      <c r="U21" s="193"/>
      <c r="V21" s="193"/>
      <c r="W21" s="193"/>
      <c r="X21" s="193"/>
      <c r="Y21" s="193"/>
      <c r="Z21" s="193"/>
      <c r="AA21" s="193"/>
      <c r="AB21" s="193"/>
      <c r="AC21" s="193"/>
      <c r="AD21" s="193"/>
      <c r="AE21" s="193"/>
      <c r="AF21" s="193"/>
      <c r="AG21" s="193"/>
      <c r="AH21" s="193"/>
      <c r="AI21" s="193"/>
      <c r="AJ21" s="193"/>
      <c r="AK21" s="193"/>
      <c r="AL21" s="193"/>
      <c r="AM21" s="193"/>
      <c r="AN21" s="193"/>
      <c r="AO21" s="193"/>
      <c r="AP21" s="193"/>
      <c r="AQ21" s="193"/>
      <c r="AR21" s="193"/>
      <c r="AS21" s="193"/>
      <c r="AT21" s="193"/>
      <c r="AU21" s="193"/>
      <c r="AV21" s="193"/>
      <c r="AW21" s="193"/>
      <c r="AX21" s="193"/>
      <c r="AY21" s="193"/>
      <c r="AZ21" s="193"/>
      <c r="BA21" s="193"/>
      <c r="BB21" s="193"/>
      <c r="BC21" s="193"/>
      <c r="BD21" s="193"/>
      <c r="BE21" s="193"/>
      <c r="BF21" s="193"/>
      <c r="BG21" s="193"/>
      <c r="BH21" s="193"/>
      <c r="BI21" s="193"/>
      <c r="BJ21" s="193"/>
      <c r="BK21" s="193"/>
      <c r="BL21" s="193"/>
      <c r="BM21" s="193"/>
      <c r="BN21" s="193"/>
      <c r="BO21" s="193"/>
      <c r="BP21" s="193"/>
      <c r="BQ21" s="193"/>
      <c r="BR21" s="193"/>
      <c r="BS21" s="193"/>
      <c r="BT21" s="193"/>
      <c r="BU21" s="193"/>
      <c r="BV21" s="193"/>
      <c r="BW21" s="193"/>
      <c r="BX21" s="193"/>
      <c r="BY21" s="193"/>
      <c r="BZ21" s="193"/>
      <c r="CA21" s="193"/>
      <c r="CB21" s="193"/>
      <c r="CC21" s="193"/>
      <c r="CD21" s="193"/>
      <c r="CE21" s="193"/>
      <c r="CF21" s="193"/>
      <c r="CG21" s="193"/>
      <c r="CH21" s="193"/>
      <c r="CI21" s="193"/>
      <c r="CJ21" s="193"/>
      <c r="CK21" s="193"/>
      <c r="CL21" s="193"/>
      <c r="CM21" s="193"/>
      <c r="CN21" s="193"/>
      <c r="CO21" s="194"/>
    </row>
    <row r="22" spans="1:93" ht="15" customHeight="1">
      <c r="A22" s="55" t="s">
        <v>25</v>
      </c>
      <c r="B22" s="197">
        <f t="shared" si="0"/>
        <v>-122155459</v>
      </c>
      <c r="C22" s="197">
        <f t="shared" si="1"/>
        <v>-85899738</v>
      </c>
      <c r="D22" s="197">
        <f>-99567611+5445379</f>
        <v>-94122232</v>
      </c>
      <c r="E22" s="197">
        <v>0</v>
      </c>
      <c r="F22" s="60"/>
      <c r="G22" s="174">
        <v>0</v>
      </c>
      <c r="H22" s="197">
        <v>-10778000</v>
      </c>
      <c r="I22" s="61">
        <v>156041000</v>
      </c>
      <c r="J22" s="197">
        <v>-111377459</v>
      </c>
      <c r="K22" s="197">
        <v>-241940738</v>
      </c>
      <c r="L22" s="94"/>
      <c r="M22" s="94"/>
      <c r="N22" s="94"/>
      <c r="O22" s="94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5"/>
    </row>
    <row r="23" spans="1:93" ht="15" customHeight="1">
      <c r="A23" s="55" t="s">
        <v>26</v>
      </c>
      <c r="B23" s="60">
        <f t="shared" si="0"/>
        <v>579426760</v>
      </c>
      <c r="C23" s="60">
        <f t="shared" si="1"/>
        <v>947946896</v>
      </c>
      <c r="D23" s="60">
        <f>85355707+1016896+8836825+1458582</f>
        <v>96668010</v>
      </c>
      <c r="E23" s="60">
        <f>85355707-76673873</f>
        <v>8681834</v>
      </c>
      <c r="F23" s="60"/>
      <c r="G23" s="174">
        <v>14849330</v>
      </c>
      <c r="H23" s="60">
        <f>459648000+32504000+122267000-48687000</f>
        <v>565732000</v>
      </c>
      <c r="I23" s="60">
        <f>425480000+119229000+80152000-48687000</f>
        <v>576174000</v>
      </c>
      <c r="J23" s="60">
        <f>2337+247411+1334300+3428878</f>
        <v>5012926</v>
      </c>
      <c r="K23" s="60">
        <f>366762307+247411+1334300+3428878</f>
        <v>371772896</v>
      </c>
      <c r="L23" s="94"/>
      <c r="M23" s="94"/>
      <c r="N23" s="94"/>
      <c r="O23" s="94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5"/>
    </row>
    <row r="24" spans="1:93" s="4" customFormat="1" ht="15" customHeight="1">
      <c r="A24" s="54" t="s">
        <v>27</v>
      </c>
      <c r="B24" s="61">
        <f t="shared" si="0"/>
        <v>571914938</v>
      </c>
      <c r="C24" s="61">
        <f t="shared" si="1"/>
        <v>934344509</v>
      </c>
      <c r="D24" s="62">
        <f aca="true" t="shared" si="4" ref="D24:K24">SUM(D20:D23)</f>
        <v>4082967</v>
      </c>
      <c r="E24" s="62">
        <f t="shared" si="4"/>
        <v>4189732</v>
      </c>
      <c r="F24" s="62">
        <f t="shared" si="4"/>
        <v>0</v>
      </c>
      <c r="G24" s="175">
        <f t="shared" si="4"/>
        <v>18277978</v>
      </c>
      <c r="H24" s="62">
        <f t="shared" si="4"/>
        <v>717101000</v>
      </c>
      <c r="I24" s="62">
        <f t="shared" si="4"/>
        <v>901411000</v>
      </c>
      <c r="J24" s="62">
        <f t="shared" si="4"/>
        <v>-149375794</v>
      </c>
      <c r="K24" s="62">
        <f t="shared" si="4"/>
        <v>32933509</v>
      </c>
      <c r="L24" s="95"/>
      <c r="M24" s="95"/>
      <c r="N24" s="95"/>
      <c r="O24" s="95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52"/>
    </row>
    <row r="25" spans="1:93" s="4" customFormat="1" ht="15" customHeight="1">
      <c r="A25" s="54" t="s">
        <v>28</v>
      </c>
      <c r="B25" s="61">
        <f t="shared" si="0"/>
        <v>4409976721</v>
      </c>
      <c r="C25" s="61">
        <f t="shared" si="1"/>
        <v>5008151624</v>
      </c>
      <c r="D25" s="62">
        <f aca="true" t="shared" si="5" ref="D25:K25">+D24+D18</f>
        <v>183079582</v>
      </c>
      <c r="E25" s="62">
        <f t="shared" si="5"/>
        <v>281835137</v>
      </c>
      <c r="F25" s="62">
        <f t="shared" si="5"/>
        <v>0</v>
      </c>
      <c r="G25" s="175">
        <f t="shared" si="5"/>
        <v>27858144</v>
      </c>
      <c r="H25" s="62">
        <f t="shared" si="5"/>
        <v>3962569000</v>
      </c>
      <c r="I25" s="62">
        <f t="shared" si="5"/>
        <v>4535436000</v>
      </c>
      <c r="J25" s="62">
        <f t="shared" si="5"/>
        <v>165572584</v>
      </c>
      <c r="K25" s="62">
        <f t="shared" si="5"/>
        <v>472715624</v>
      </c>
      <c r="L25" s="95"/>
      <c r="M25" s="95"/>
      <c r="N25" s="95"/>
      <c r="O25" s="95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52"/>
    </row>
    <row r="26" spans="1:93" ht="15" customHeight="1">
      <c r="A26" s="54" t="s">
        <v>29</v>
      </c>
      <c r="B26" s="60">
        <f t="shared" si="0"/>
        <v>0</v>
      </c>
      <c r="C26" s="60">
        <f t="shared" si="1"/>
        <v>0</v>
      </c>
      <c r="D26" s="87"/>
      <c r="E26" s="87"/>
      <c r="F26" s="87"/>
      <c r="G26" s="177"/>
      <c r="H26" s="87"/>
      <c r="I26" s="87"/>
      <c r="J26" s="87"/>
      <c r="K26" s="87"/>
      <c r="L26" s="97"/>
      <c r="M26" s="97"/>
      <c r="N26" s="97"/>
      <c r="O26" s="97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5"/>
    </row>
    <row r="27" spans="1:93" ht="15" customHeight="1">
      <c r="A27" s="54" t="s">
        <v>30</v>
      </c>
      <c r="B27" s="60">
        <f t="shared" si="0"/>
        <v>0</v>
      </c>
      <c r="C27" s="60">
        <f t="shared" si="1"/>
        <v>0</v>
      </c>
      <c r="D27" s="61"/>
      <c r="E27" s="61"/>
      <c r="F27" s="61"/>
      <c r="G27" s="176"/>
      <c r="H27" s="61"/>
      <c r="I27" s="61"/>
      <c r="J27" s="61"/>
      <c r="K27" s="61"/>
      <c r="L27" s="96"/>
      <c r="M27" s="96"/>
      <c r="N27" s="96"/>
      <c r="O27" s="96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25"/>
    </row>
    <row r="28" spans="1:93" ht="15" customHeight="1">
      <c r="A28" s="56" t="s">
        <v>31</v>
      </c>
      <c r="B28" s="60">
        <f t="shared" si="0"/>
        <v>2307990677</v>
      </c>
      <c r="C28" s="60">
        <f t="shared" si="1"/>
        <v>2321713514</v>
      </c>
      <c r="D28" s="60">
        <v>289721779</v>
      </c>
      <c r="E28" s="60">
        <f>335842645-E29</f>
        <v>320223409</v>
      </c>
      <c r="F28" s="60"/>
      <c r="G28" s="174">
        <v>3804593</v>
      </c>
      <c r="H28" s="60">
        <v>1764369000</v>
      </c>
      <c r="I28" s="60">
        <v>2087227000</v>
      </c>
      <c r="J28" s="60">
        <v>223398268</v>
      </c>
      <c r="K28" s="60">
        <v>234486514</v>
      </c>
      <c r="L28" s="94"/>
      <c r="M28" s="94"/>
      <c r="N28" s="94"/>
      <c r="O28" s="94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5"/>
    </row>
    <row r="29" spans="1:93" ht="15" customHeight="1">
      <c r="A29" s="56" t="s">
        <v>32</v>
      </c>
      <c r="B29" s="60">
        <f t="shared" si="0"/>
        <v>146987960</v>
      </c>
      <c r="C29" s="60">
        <f t="shared" si="1"/>
        <v>121348939</v>
      </c>
      <c r="D29" s="60">
        <f>464716+1698779+584150</f>
        <v>2747645</v>
      </c>
      <c r="E29" s="60">
        <v>15619236</v>
      </c>
      <c r="F29" s="156"/>
      <c r="G29" s="185">
        <v>24683</v>
      </c>
      <c r="H29" s="60">
        <v>122033000</v>
      </c>
      <c r="I29" s="60">
        <v>116053000</v>
      </c>
      <c r="J29" s="60">
        <v>9335724</v>
      </c>
      <c r="K29" s="60">
        <v>5295939</v>
      </c>
      <c r="L29" s="94"/>
      <c r="M29" s="94"/>
      <c r="N29" s="94"/>
      <c r="O29" s="94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5"/>
    </row>
    <row r="30" spans="1:93" s="4" customFormat="1" ht="15" customHeight="1">
      <c r="A30" s="54" t="s">
        <v>33</v>
      </c>
      <c r="B30" s="61">
        <f t="shared" si="0"/>
        <v>2454978637</v>
      </c>
      <c r="C30" s="61">
        <f t="shared" si="1"/>
        <v>2443062453</v>
      </c>
      <c r="D30" s="62">
        <f aca="true" t="shared" si="6" ref="D30:K30">SUM(D28:D29)</f>
        <v>292469424</v>
      </c>
      <c r="E30" s="62">
        <f t="shared" si="6"/>
        <v>335842645</v>
      </c>
      <c r="F30" s="62">
        <f t="shared" si="6"/>
        <v>0</v>
      </c>
      <c r="G30" s="175">
        <f t="shared" si="6"/>
        <v>3829276</v>
      </c>
      <c r="H30" s="62">
        <f t="shared" si="6"/>
        <v>1886402000</v>
      </c>
      <c r="I30" s="62">
        <f t="shared" si="6"/>
        <v>2203280000</v>
      </c>
      <c r="J30" s="62">
        <f t="shared" si="6"/>
        <v>232733992</v>
      </c>
      <c r="K30" s="62">
        <f t="shared" si="6"/>
        <v>239782453</v>
      </c>
      <c r="L30" s="95"/>
      <c r="M30" s="95"/>
      <c r="N30" s="95"/>
      <c r="O30" s="95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52"/>
    </row>
    <row r="31" spans="1:93" ht="15" customHeight="1">
      <c r="A31" s="54" t="s">
        <v>34</v>
      </c>
      <c r="B31" s="60">
        <f t="shared" si="0"/>
        <v>0</v>
      </c>
      <c r="C31" s="60">
        <f t="shared" si="1"/>
        <v>0</v>
      </c>
      <c r="D31" s="61"/>
      <c r="E31" s="61"/>
      <c r="F31" s="61"/>
      <c r="G31" s="176"/>
      <c r="H31" s="61"/>
      <c r="I31" s="61"/>
      <c r="J31" s="61"/>
      <c r="K31" s="61"/>
      <c r="L31" s="96"/>
      <c r="M31" s="96"/>
      <c r="N31" s="96"/>
      <c r="O31" s="96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25"/>
    </row>
    <row r="32" spans="1:93" ht="15" customHeight="1">
      <c r="A32" s="55" t="s">
        <v>63</v>
      </c>
      <c r="B32" s="60">
        <f t="shared" si="0"/>
        <v>2246310061</v>
      </c>
      <c r="C32" s="60">
        <f t="shared" si="1"/>
        <v>2173993652</v>
      </c>
      <c r="D32" s="60">
        <f>247181202+40678941</f>
        <v>287860143</v>
      </c>
      <c r="E32" s="60">
        <v>342838629</v>
      </c>
      <c r="F32" s="60"/>
      <c r="G32" s="174">
        <f>4342667+1585865</f>
        <v>5928532</v>
      </c>
      <c r="H32" s="60">
        <f>1233033000+359523000+36244000</f>
        <v>1628800000</v>
      </c>
      <c r="I32" s="60">
        <f>1394317000+443454000</f>
        <v>1837771000</v>
      </c>
      <c r="J32" s="60">
        <f>203064930+71606502</f>
        <v>274671432</v>
      </c>
      <c r="K32" s="60">
        <f>236594954+99627698</f>
        <v>336222652</v>
      </c>
      <c r="L32" s="94"/>
      <c r="M32" s="94"/>
      <c r="N32" s="94"/>
      <c r="O32" s="94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5"/>
    </row>
    <row r="33" spans="1:93" ht="15" customHeight="1">
      <c r="A33" s="55" t="s">
        <v>35</v>
      </c>
      <c r="B33" s="60">
        <f t="shared" si="0"/>
        <v>109447560</v>
      </c>
      <c r="C33" s="60">
        <f t="shared" si="1"/>
        <v>176268494</v>
      </c>
      <c r="D33" s="60">
        <f>5002160+327519+9108+1196193+1220349+1022274+1083026</f>
        <v>9860629</v>
      </c>
      <c r="E33" s="60">
        <v>0</v>
      </c>
      <c r="F33" s="60"/>
      <c r="G33" s="174">
        <f>270232+177414</f>
        <v>447646</v>
      </c>
      <c r="H33" s="60">
        <v>103146000</v>
      </c>
      <c r="I33" s="60">
        <f>143558000+27196000</f>
        <v>170754000</v>
      </c>
      <c r="J33" s="60">
        <v>6301560</v>
      </c>
      <c r="K33" s="60">
        <v>5514494</v>
      </c>
      <c r="L33" s="94"/>
      <c r="M33" s="94"/>
      <c r="N33" s="94"/>
      <c r="O33" s="94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5"/>
    </row>
    <row r="34" spans="1:93" ht="15" customHeight="1">
      <c r="A34" s="55" t="s">
        <v>36</v>
      </c>
      <c r="B34" s="60">
        <f t="shared" si="0"/>
        <v>5724685</v>
      </c>
      <c r="C34" s="60">
        <f t="shared" si="1"/>
        <v>34691434</v>
      </c>
      <c r="D34" s="60">
        <v>194031</v>
      </c>
      <c r="E34" s="60">
        <v>4478685</v>
      </c>
      <c r="F34" s="60"/>
      <c r="G34" s="174"/>
      <c r="H34" s="60">
        <v>1246000</v>
      </c>
      <c r="I34" s="60">
        <v>34496000</v>
      </c>
      <c r="J34" s="60"/>
      <c r="K34" s="60">
        <v>195434</v>
      </c>
      <c r="L34" s="94"/>
      <c r="M34" s="94"/>
      <c r="N34" s="94"/>
      <c r="O34" s="94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5"/>
    </row>
    <row r="35" spans="1:93" s="4" customFormat="1" ht="15" customHeight="1">
      <c r="A35" s="54" t="s">
        <v>37</v>
      </c>
      <c r="B35" s="61">
        <f t="shared" si="0"/>
        <v>2361482306</v>
      </c>
      <c r="C35" s="61">
        <f t="shared" si="1"/>
        <v>2384953580</v>
      </c>
      <c r="D35" s="62">
        <f aca="true" t="shared" si="7" ref="D35:K35">SUM(D32:D34)</f>
        <v>297914803</v>
      </c>
      <c r="E35" s="62">
        <f t="shared" si="7"/>
        <v>347317314</v>
      </c>
      <c r="F35" s="62">
        <f t="shared" si="7"/>
        <v>0</v>
      </c>
      <c r="G35" s="175">
        <f t="shared" si="7"/>
        <v>6376178</v>
      </c>
      <c r="H35" s="62">
        <f t="shared" si="7"/>
        <v>1733192000</v>
      </c>
      <c r="I35" s="62">
        <f t="shared" si="7"/>
        <v>2043021000</v>
      </c>
      <c r="J35" s="62">
        <f t="shared" si="7"/>
        <v>280972992</v>
      </c>
      <c r="K35" s="62">
        <f t="shared" si="7"/>
        <v>341932580</v>
      </c>
      <c r="L35" s="95"/>
      <c r="M35" s="95"/>
      <c r="N35" s="95"/>
      <c r="O35" s="95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52"/>
    </row>
    <row r="36" spans="1:93" s="5" customFormat="1" ht="15" customHeight="1">
      <c r="A36" s="57" t="s">
        <v>38</v>
      </c>
      <c r="B36" s="61">
        <f t="shared" si="0"/>
        <v>61680616</v>
      </c>
      <c r="C36" s="61">
        <f t="shared" si="1"/>
        <v>147719862</v>
      </c>
      <c r="D36" s="62">
        <f aca="true" t="shared" si="8" ref="D36:K36">+D28-D32</f>
        <v>1861636</v>
      </c>
      <c r="E36" s="62">
        <f t="shared" si="8"/>
        <v>-22615220</v>
      </c>
      <c r="F36" s="62">
        <f t="shared" si="8"/>
        <v>0</v>
      </c>
      <c r="G36" s="198">
        <f t="shared" si="8"/>
        <v>-2123939</v>
      </c>
      <c r="H36" s="62">
        <f t="shared" si="8"/>
        <v>135569000</v>
      </c>
      <c r="I36" s="62">
        <f t="shared" si="8"/>
        <v>249456000</v>
      </c>
      <c r="J36" s="62">
        <f t="shared" si="8"/>
        <v>-51273164</v>
      </c>
      <c r="K36" s="62">
        <f t="shared" si="8"/>
        <v>-101736138</v>
      </c>
      <c r="L36" s="95"/>
      <c r="M36" s="95"/>
      <c r="N36" s="95"/>
      <c r="O36" s="95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49"/>
    </row>
    <row r="37" spans="1:93" s="205" customFormat="1" ht="15" customHeight="1" thickBot="1">
      <c r="A37" s="200" t="s">
        <v>39</v>
      </c>
      <c r="B37" s="228">
        <f t="shared" si="0"/>
        <v>93496331</v>
      </c>
      <c r="C37" s="228">
        <f t="shared" si="1"/>
        <v>58108873</v>
      </c>
      <c r="D37" s="201">
        <f aca="true" t="shared" si="9" ref="D37:K37">+D30-D35</f>
        <v>-5445379</v>
      </c>
      <c r="E37" s="201">
        <f t="shared" si="9"/>
        <v>-11474669</v>
      </c>
      <c r="F37" s="201">
        <f t="shared" si="9"/>
        <v>0</v>
      </c>
      <c r="G37" s="202">
        <f t="shared" si="9"/>
        <v>-2546902</v>
      </c>
      <c r="H37" s="217">
        <f t="shared" si="9"/>
        <v>153210000</v>
      </c>
      <c r="I37" s="217">
        <f t="shared" si="9"/>
        <v>160259000</v>
      </c>
      <c r="J37" s="201">
        <f t="shared" si="9"/>
        <v>-48239000</v>
      </c>
      <c r="K37" s="201">
        <f t="shared" si="9"/>
        <v>-102150127</v>
      </c>
      <c r="L37" s="203"/>
      <c r="M37" s="203"/>
      <c r="N37" s="203"/>
      <c r="O37" s="203"/>
      <c r="P37" s="188"/>
      <c r="Q37" s="188"/>
      <c r="R37" s="188"/>
      <c r="S37" s="188"/>
      <c r="T37" s="188"/>
      <c r="U37" s="188"/>
      <c r="V37" s="188"/>
      <c r="W37" s="188"/>
      <c r="X37" s="188"/>
      <c r="Y37" s="188"/>
      <c r="Z37" s="188"/>
      <c r="AA37" s="188"/>
      <c r="AB37" s="188"/>
      <c r="AC37" s="188"/>
      <c r="AD37" s="188"/>
      <c r="AE37" s="188"/>
      <c r="AF37" s="188"/>
      <c r="AG37" s="188"/>
      <c r="AH37" s="188"/>
      <c r="AI37" s="188"/>
      <c r="AJ37" s="188"/>
      <c r="AK37" s="188"/>
      <c r="AL37" s="188"/>
      <c r="AM37" s="188"/>
      <c r="AN37" s="188"/>
      <c r="AO37" s="188"/>
      <c r="AP37" s="188"/>
      <c r="AQ37" s="188"/>
      <c r="AR37" s="188"/>
      <c r="AS37" s="188"/>
      <c r="AT37" s="188"/>
      <c r="AU37" s="188"/>
      <c r="AV37" s="188"/>
      <c r="AW37" s="188"/>
      <c r="AX37" s="188"/>
      <c r="AY37" s="188"/>
      <c r="AZ37" s="188"/>
      <c r="BA37" s="188"/>
      <c r="BB37" s="188"/>
      <c r="BC37" s="188"/>
      <c r="BD37" s="188"/>
      <c r="BE37" s="188"/>
      <c r="BF37" s="188"/>
      <c r="BG37" s="188"/>
      <c r="BH37" s="188"/>
      <c r="BI37" s="188"/>
      <c r="BJ37" s="188"/>
      <c r="BK37" s="188"/>
      <c r="BL37" s="188"/>
      <c r="BM37" s="188"/>
      <c r="BN37" s="188"/>
      <c r="BO37" s="188"/>
      <c r="BP37" s="188"/>
      <c r="BQ37" s="188"/>
      <c r="BR37" s="188"/>
      <c r="BS37" s="188"/>
      <c r="BT37" s="188"/>
      <c r="BU37" s="188"/>
      <c r="BV37" s="188"/>
      <c r="BW37" s="188"/>
      <c r="BX37" s="188"/>
      <c r="BY37" s="188"/>
      <c r="BZ37" s="188"/>
      <c r="CA37" s="188"/>
      <c r="CB37" s="188"/>
      <c r="CC37" s="188"/>
      <c r="CD37" s="188"/>
      <c r="CE37" s="188"/>
      <c r="CF37" s="188"/>
      <c r="CG37" s="188"/>
      <c r="CH37" s="188"/>
      <c r="CI37" s="188"/>
      <c r="CJ37" s="188"/>
      <c r="CK37" s="188"/>
      <c r="CL37" s="188"/>
      <c r="CM37" s="188"/>
      <c r="CN37" s="188"/>
      <c r="CO37" s="204"/>
    </row>
    <row r="38" spans="1:5" s="112" customFormat="1" ht="9.75">
      <c r="A38" s="213" t="s">
        <v>107</v>
      </c>
      <c r="B38" s="155"/>
      <c r="C38" s="155"/>
      <c r="D38" s="155"/>
      <c r="E38" s="155"/>
    </row>
    <row r="39" spans="4:93" ht="15" customHeight="1">
      <c r="D39" s="169"/>
      <c r="E39" s="169"/>
      <c r="H39" s="89"/>
      <c r="I39" s="89"/>
      <c r="J39" s="99"/>
      <c r="K39" s="99"/>
      <c r="L39" s="99"/>
      <c r="M39" s="99"/>
      <c r="N39" s="99"/>
      <c r="O39" s="99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25"/>
    </row>
    <row r="40" spans="2:93" ht="15" customHeight="1">
      <c r="B40" s="89"/>
      <c r="C40" s="89"/>
      <c r="D40" s="89"/>
      <c r="E40" s="89"/>
      <c r="F40" s="89"/>
      <c r="G40" s="89"/>
      <c r="H40" s="89"/>
      <c r="I40" s="89"/>
      <c r="J40" s="100"/>
      <c r="K40" s="100"/>
      <c r="L40" s="100"/>
      <c r="M40" s="100"/>
      <c r="N40" s="100"/>
      <c r="O40" s="100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25"/>
    </row>
    <row r="41" spans="10:93" ht="15" customHeight="1">
      <c r="J41" s="100"/>
      <c r="K41" s="100"/>
      <c r="L41" s="100"/>
      <c r="M41" s="100"/>
      <c r="N41" s="100"/>
      <c r="O41" s="100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25"/>
    </row>
    <row r="42" spans="10:93" ht="15" customHeight="1">
      <c r="J42" s="100"/>
      <c r="K42" s="100"/>
      <c r="L42" s="100"/>
      <c r="M42" s="100"/>
      <c r="N42" s="100"/>
      <c r="O42" s="100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B42" s="46"/>
      <c r="CC42" s="46"/>
      <c r="CD42" s="46"/>
      <c r="CE42" s="46"/>
      <c r="CF42" s="46"/>
      <c r="CG42" s="46"/>
      <c r="CH42" s="46"/>
      <c r="CI42" s="46"/>
      <c r="CJ42" s="46"/>
      <c r="CK42" s="46"/>
      <c r="CL42" s="46"/>
      <c r="CM42" s="46"/>
      <c r="CN42" s="46"/>
      <c r="CO42" s="25"/>
    </row>
    <row r="43" spans="10:93" ht="15" customHeight="1">
      <c r="J43" s="110"/>
      <c r="K43" s="110"/>
      <c r="L43" s="100"/>
      <c r="M43" s="100"/>
      <c r="N43" s="100"/>
      <c r="O43" s="100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25"/>
    </row>
    <row r="44" spans="10:93" ht="15" customHeight="1">
      <c r="J44" s="110"/>
      <c r="K44" s="110"/>
      <c r="L44" s="99"/>
      <c r="M44" s="99"/>
      <c r="N44" s="99"/>
      <c r="O44" s="99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BR44" s="45"/>
      <c r="BS44" s="45"/>
      <c r="BT44" s="45"/>
      <c r="BU44" s="45"/>
      <c r="BV44" s="45"/>
      <c r="BW44" s="45"/>
      <c r="BX44" s="45"/>
      <c r="BY44" s="45"/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45"/>
      <c r="CK44" s="45"/>
      <c r="CL44" s="45"/>
      <c r="CM44" s="45"/>
      <c r="CN44" s="45"/>
      <c r="CO44" s="25"/>
    </row>
    <row r="45" spans="10:93" ht="15" customHeight="1">
      <c r="J45" s="110"/>
      <c r="K45" s="110"/>
      <c r="L45" s="99"/>
      <c r="M45" s="99"/>
      <c r="N45" s="99"/>
      <c r="O45" s="99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5"/>
      <c r="CO45" s="25"/>
    </row>
    <row r="46" spans="10:93" ht="15" customHeight="1">
      <c r="J46" s="110"/>
      <c r="K46" s="110"/>
      <c r="L46" s="99"/>
      <c r="M46" s="99"/>
      <c r="N46" s="99"/>
      <c r="O46" s="99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45"/>
      <c r="BZ46" s="45"/>
      <c r="CA46" s="45"/>
      <c r="CB46" s="45"/>
      <c r="CC46" s="45"/>
      <c r="CD46" s="45"/>
      <c r="CE46" s="45"/>
      <c r="CF46" s="45"/>
      <c r="CG46" s="45"/>
      <c r="CH46" s="45"/>
      <c r="CI46" s="45"/>
      <c r="CJ46" s="45"/>
      <c r="CK46" s="45"/>
      <c r="CL46" s="45"/>
      <c r="CM46" s="45"/>
      <c r="CN46" s="45"/>
      <c r="CO46" s="25"/>
    </row>
    <row r="47" spans="10:93" ht="15" customHeight="1">
      <c r="J47"/>
      <c r="K47"/>
      <c r="L47" s="99"/>
      <c r="M47" s="99"/>
      <c r="N47" s="99"/>
      <c r="O47" s="99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25"/>
    </row>
    <row r="48" spans="10:93" ht="15" customHeight="1">
      <c r="J48" s="111"/>
      <c r="K48" s="111"/>
      <c r="L48" s="99"/>
      <c r="M48" s="99"/>
      <c r="N48" s="99"/>
      <c r="O48" s="99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45"/>
      <c r="BX48" s="45"/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45"/>
      <c r="CJ48" s="45"/>
      <c r="CK48" s="45"/>
      <c r="CL48" s="45"/>
      <c r="CM48" s="45"/>
      <c r="CN48" s="45"/>
      <c r="CO48" s="25"/>
    </row>
    <row r="49" spans="10:93" ht="15" customHeight="1">
      <c r="J49" s="91"/>
      <c r="K49" s="91"/>
      <c r="L49" s="100"/>
      <c r="M49" s="100"/>
      <c r="N49" s="100"/>
      <c r="O49" s="100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B49" s="46"/>
      <c r="CC49" s="46"/>
      <c r="CD49" s="46"/>
      <c r="CE49" s="46"/>
      <c r="CF49" s="46"/>
      <c r="CG49" s="46"/>
      <c r="CH49" s="46"/>
      <c r="CI49" s="46"/>
      <c r="CJ49" s="46"/>
      <c r="CK49" s="46"/>
      <c r="CL49" s="46"/>
      <c r="CM49" s="46"/>
      <c r="CN49" s="46"/>
      <c r="CO49" s="25"/>
    </row>
    <row r="50" spans="10:93" ht="15" customHeight="1">
      <c r="J50" s="91"/>
      <c r="K50" s="91"/>
      <c r="L50" s="99"/>
      <c r="M50" s="99"/>
      <c r="N50" s="99"/>
      <c r="O50" s="99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5"/>
      <c r="BQ50" s="45"/>
      <c r="BR50" s="45"/>
      <c r="BS50" s="45"/>
      <c r="BT50" s="45"/>
      <c r="BU50" s="45"/>
      <c r="BV50" s="45"/>
      <c r="BW50" s="45"/>
      <c r="BX50" s="45"/>
      <c r="BY50" s="45"/>
      <c r="BZ50" s="45"/>
      <c r="CA50" s="45"/>
      <c r="CB50" s="45"/>
      <c r="CC50" s="45"/>
      <c r="CD50" s="45"/>
      <c r="CE50" s="45"/>
      <c r="CF50" s="45"/>
      <c r="CG50" s="45"/>
      <c r="CH50" s="45"/>
      <c r="CI50" s="45"/>
      <c r="CJ50" s="45"/>
      <c r="CK50" s="45"/>
      <c r="CL50" s="45"/>
      <c r="CM50" s="45"/>
      <c r="CN50" s="45"/>
      <c r="CO50" s="25"/>
    </row>
    <row r="51" spans="10:93" ht="15" customHeight="1">
      <c r="J51" s="99"/>
      <c r="K51" s="99"/>
      <c r="L51" s="99"/>
      <c r="M51" s="99"/>
      <c r="N51" s="99"/>
      <c r="O51" s="99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  <c r="BP51" s="45"/>
      <c r="BQ51" s="45"/>
      <c r="BR51" s="45"/>
      <c r="BS51" s="45"/>
      <c r="BT51" s="45"/>
      <c r="BU51" s="45"/>
      <c r="BV51" s="45"/>
      <c r="BW51" s="45"/>
      <c r="BX51" s="45"/>
      <c r="BY51" s="45"/>
      <c r="BZ51" s="45"/>
      <c r="CA51" s="45"/>
      <c r="CB51" s="45"/>
      <c r="CC51" s="45"/>
      <c r="CD51" s="45"/>
      <c r="CE51" s="45"/>
      <c r="CF51" s="45"/>
      <c r="CG51" s="45"/>
      <c r="CH51" s="45"/>
      <c r="CI51" s="45"/>
      <c r="CJ51" s="45"/>
      <c r="CK51" s="45"/>
      <c r="CL51" s="45"/>
      <c r="CM51" s="45"/>
      <c r="CN51" s="45"/>
      <c r="CO51" s="25"/>
    </row>
    <row r="52" spans="10:93" ht="15" customHeight="1">
      <c r="J52" s="100"/>
      <c r="K52" s="100"/>
      <c r="L52" s="100"/>
      <c r="M52" s="100"/>
      <c r="N52" s="100"/>
      <c r="O52" s="100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46"/>
      <c r="BX52" s="46"/>
      <c r="BY52" s="46"/>
      <c r="BZ52" s="46"/>
      <c r="CA52" s="46"/>
      <c r="CB52" s="46"/>
      <c r="CC52" s="46"/>
      <c r="CD52" s="46"/>
      <c r="CE52" s="46"/>
      <c r="CF52" s="46"/>
      <c r="CG52" s="46"/>
      <c r="CH52" s="46"/>
      <c r="CI52" s="46"/>
      <c r="CJ52" s="46"/>
      <c r="CK52" s="46"/>
      <c r="CL52" s="46"/>
      <c r="CM52" s="46"/>
      <c r="CN52" s="46"/>
      <c r="CO52" s="25"/>
    </row>
    <row r="53" spans="10:93" ht="15" customHeight="1">
      <c r="J53" s="99"/>
      <c r="K53" s="99"/>
      <c r="L53" s="99"/>
      <c r="M53" s="99"/>
      <c r="N53" s="99"/>
      <c r="O53" s="99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  <c r="BP53" s="45"/>
      <c r="BQ53" s="45"/>
      <c r="BR53" s="45"/>
      <c r="BS53" s="45"/>
      <c r="BT53" s="45"/>
      <c r="BU53" s="45"/>
      <c r="BV53" s="45"/>
      <c r="BW53" s="45"/>
      <c r="BX53" s="45"/>
      <c r="BY53" s="45"/>
      <c r="BZ53" s="45"/>
      <c r="CA53" s="45"/>
      <c r="CB53" s="45"/>
      <c r="CC53" s="45"/>
      <c r="CD53" s="45"/>
      <c r="CE53" s="45"/>
      <c r="CF53" s="45"/>
      <c r="CG53" s="45"/>
      <c r="CH53" s="45"/>
      <c r="CI53" s="45"/>
      <c r="CJ53" s="45"/>
      <c r="CK53" s="45"/>
      <c r="CL53" s="45"/>
      <c r="CM53" s="45"/>
      <c r="CN53" s="45"/>
      <c r="CO53" s="25"/>
    </row>
    <row r="54" spans="10:93" ht="15" customHeight="1">
      <c r="J54" s="99"/>
      <c r="K54" s="99"/>
      <c r="L54" s="99"/>
      <c r="M54" s="99"/>
      <c r="N54" s="99"/>
      <c r="O54" s="99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  <c r="BP54" s="45"/>
      <c r="BQ54" s="45"/>
      <c r="BR54" s="45"/>
      <c r="BS54" s="45"/>
      <c r="BT54" s="45"/>
      <c r="BU54" s="45"/>
      <c r="BV54" s="45"/>
      <c r="BW54" s="45"/>
      <c r="BX54" s="45"/>
      <c r="BY54" s="45"/>
      <c r="BZ54" s="45"/>
      <c r="CA54" s="45"/>
      <c r="CB54" s="45"/>
      <c r="CC54" s="45"/>
      <c r="CD54" s="45"/>
      <c r="CE54" s="45"/>
      <c r="CF54" s="45"/>
      <c r="CG54" s="45"/>
      <c r="CH54" s="45"/>
      <c r="CI54" s="45"/>
      <c r="CJ54" s="45"/>
      <c r="CK54" s="45"/>
      <c r="CL54" s="45"/>
      <c r="CM54" s="45"/>
      <c r="CN54" s="45"/>
      <c r="CO54" s="25"/>
    </row>
    <row r="55" spans="10:93" ht="15" customHeight="1">
      <c r="J55" s="100"/>
      <c r="K55" s="100"/>
      <c r="L55" s="100"/>
      <c r="M55" s="100"/>
      <c r="N55" s="100"/>
      <c r="O55" s="100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6"/>
      <c r="BR55" s="46"/>
      <c r="BS55" s="46"/>
      <c r="BT55" s="46"/>
      <c r="BU55" s="46"/>
      <c r="BV55" s="46"/>
      <c r="BW55" s="46"/>
      <c r="BX55" s="46"/>
      <c r="BY55" s="46"/>
      <c r="BZ55" s="46"/>
      <c r="CA55" s="46"/>
      <c r="CB55" s="46"/>
      <c r="CC55" s="46"/>
      <c r="CD55" s="46"/>
      <c r="CE55" s="46"/>
      <c r="CF55" s="46"/>
      <c r="CG55" s="46"/>
      <c r="CH55" s="46"/>
      <c r="CI55" s="46"/>
      <c r="CJ55" s="46"/>
      <c r="CK55" s="46"/>
      <c r="CL55" s="46"/>
      <c r="CM55" s="46"/>
      <c r="CN55" s="46"/>
      <c r="CO55" s="25"/>
    </row>
    <row r="56" spans="10:93" ht="15" customHeight="1">
      <c r="J56" s="99"/>
      <c r="K56" s="99"/>
      <c r="L56" s="99"/>
      <c r="M56" s="99"/>
      <c r="N56" s="99"/>
      <c r="O56" s="99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  <c r="BP56" s="45"/>
      <c r="BQ56" s="45"/>
      <c r="BR56" s="45"/>
      <c r="BS56" s="45"/>
      <c r="BT56" s="45"/>
      <c r="BU56" s="45"/>
      <c r="BV56" s="45"/>
      <c r="BW56" s="45"/>
      <c r="BX56" s="45"/>
      <c r="BY56" s="45"/>
      <c r="BZ56" s="45"/>
      <c r="CA56" s="45"/>
      <c r="CB56" s="45"/>
      <c r="CC56" s="45"/>
      <c r="CD56" s="45"/>
      <c r="CE56" s="45"/>
      <c r="CF56" s="45"/>
      <c r="CG56" s="45"/>
      <c r="CH56" s="45"/>
      <c r="CI56" s="45"/>
      <c r="CJ56" s="45"/>
      <c r="CK56" s="45"/>
      <c r="CL56" s="45"/>
      <c r="CM56" s="45"/>
      <c r="CN56" s="45"/>
      <c r="CO56" s="25"/>
    </row>
    <row r="57" spans="10:93" ht="15" customHeight="1">
      <c r="J57" s="100"/>
      <c r="K57" s="100"/>
      <c r="L57" s="100"/>
      <c r="M57" s="100"/>
      <c r="N57" s="100"/>
      <c r="O57" s="100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  <c r="BK57" s="46"/>
      <c r="BL57" s="46"/>
      <c r="BM57" s="46"/>
      <c r="BN57" s="46"/>
      <c r="BO57" s="46"/>
      <c r="BP57" s="46"/>
      <c r="BQ57" s="46"/>
      <c r="BR57" s="46"/>
      <c r="BS57" s="46"/>
      <c r="BT57" s="46"/>
      <c r="BU57" s="46"/>
      <c r="BV57" s="46"/>
      <c r="BW57" s="46"/>
      <c r="BX57" s="46"/>
      <c r="BY57" s="46"/>
      <c r="BZ57" s="46"/>
      <c r="CA57" s="46"/>
      <c r="CB57" s="46"/>
      <c r="CC57" s="46"/>
      <c r="CD57" s="46"/>
      <c r="CE57" s="46"/>
      <c r="CF57" s="46"/>
      <c r="CG57" s="46"/>
      <c r="CH57" s="46"/>
      <c r="CI57" s="46"/>
      <c r="CJ57" s="46"/>
      <c r="CK57" s="46"/>
      <c r="CL57" s="46"/>
      <c r="CM57" s="46"/>
      <c r="CN57" s="46"/>
      <c r="CO57" s="25"/>
    </row>
    <row r="58" spans="10:93" ht="15" customHeight="1">
      <c r="J58" s="99"/>
      <c r="K58" s="99"/>
      <c r="L58" s="99"/>
      <c r="M58" s="99"/>
      <c r="N58" s="99"/>
      <c r="O58" s="99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  <c r="BI58" s="45"/>
      <c r="BJ58" s="45"/>
      <c r="BK58" s="45"/>
      <c r="BL58" s="45"/>
      <c r="BM58" s="45"/>
      <c r="BN58" s="45"/>
      <c r="BO58" s="45"/>
      <c r="BP58" s="45"/>
      <c r="BQ58" s="45"/>
      <c r="BR58" s="45"/>
      <c r="BS58" s="45"/>
      <c r="BT58" s="45"/>
      <c r="BU58" s="45"/>
      <c r="BV58" s="45"/>
      <c r="BW58" s="45"/>
      <c r="BX58" s="45"/>
      <c r="BY58" s="45"/>
      <c r="BZ58" s="45"/>
      <c r="CA58" s="45"/>
      <c r="CB58" s="45"/>
      <c r="CC58" s="45"/>
      <c r="CD58" s="45"/>
      <c r="CE58" s="45"/>
      <c r="CF58" s="45"/>
      <c r="CG58" s="45"/>
      <c r="CH58" s="45"/>
      <c r="CI58" s="45"/>
      <c r="CJ58" s="45"/>
      <c r="CK58" s="45"/>
      <c r="CL58" s="45"/>
      <c r="CM58" s="45"/>
      <c r="CN58" s="45"/>
      <c r="CO58" s="25"/>
    </row>
    <row r="59" spans="10:93" ht="15" customHeight="1">
      <c r="J59" s="99"/>
      <c r="K59" s="99"/>
      <c r="L59" s="99"/>
      <c r="M59" s="99"/>
      <c r="N59" s="99"/>
      <c r="O59" s="99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45"/>
      <c r="BM59" s="45"/>
      <c r="BN59" s="45"/>
      <c r="BO59" s="45"/>
      <c r="BP59" s="45"/>
      <c r="BQ59" s="45"/>
      <c r="BR59" s="45"/>
      <c r="BS59" s="45"/>
      <c r="BT59" s="45"/>
      <c r="BU59" s="45"/>
      <c r="BV59" s="45"/>
      <c r="BW59" s="45"/>
      <c r="BX59" s="45"/>
      <c r="BY59" s="45"/>
      <c r="BZ59" s="45"/>
      <c r="CA59" s="45"/>
      <c r="CB59" s="45"/>
      <c r="CC59" s="45"/>
      <c r="CD59" s="45"/>
      <c r="CE59" s="45"/>
      <c r="CF59" s="45"/>
      <c r="CG59" s="45"/>
      <c r="CH59" s="45"/>
      <c r="CI59" s="45"/>
      <c r="CJ59" s="45"/>
      <c r="CK59" s="45"/>
      <c r="CL59" s="45"/>
      <c r="CM59" s="45"/>
      <c r="CN59" s="45"/>
      <c r="CO59" s="25"/>
    </row>
    <row r="60" spans="10:93" ht="15" customHeight="1">
      <c r="J60" s="101"/>
      <c r="K60" s="101"/>
      <c r="L60" s="101"/>
      <c r="M60" s="101"/>
      <c r="N60" s="101"/>
      <c r="O60" s="101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  <c r="CO60" s="25"/>
    </row>
    <row r="61" spans="10:93" ht="15" customHeight="1">
      <c r="J61" s="99"/>
      <c r="K61" s="99"/>
      <c r="L61" s="99"/>
      <c r="M61" s="99"/>
      <c r="N61" s="99"/>
      <c r="O61" s="99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  <c r="BD61" s="47"/>
      <c r="BE61" s="47"/>
      <c r="BF61" s="47"/>
      <c r="BG61" s="47"/>
      <c r="BH61" s="47"/>
      <c r="BI61" s="47"/>
      <c r="BJ61" s="47"/>
      <c r="BK61" s="47"/>
      <c r="BL61" s="47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7"/>
      <c r="CA61" s="47"/>
      <c r="CB61" s="47"/>
      <c r="CC61" s="47"/>
      <c r="CD61" s="47"/>
      <c r="CE61" s="47"/>
      <c r="CF61" s="47"/>
      <c r="CG61" s="47"/>
      <c r="CH61" s="47"/>
      <c r="CI61" s="47"/>
      <c r="CJ61" s="47"/>
      <c r="CK61" s="47"/>
      <c r="CL61" s="47"/>
      <c r="CM61" s="47"/>
      <c r="CN61" s="47"/>
      <c r="CO61" s="25"/>
    </row>
    <row r="62" spans="10:93" ht="15" customHeight="1">
      <c r="J62" s="102"/>
      <c r="K62" s="102"/>
      <c r="L62" s="102"/>
      <c r="M62" s="102"/>
      <c r="N62" s="102"/>
      <c r="O62" s="102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25"/>
    </row>
    <row r="63" spans="10:93" ht="15" customHeight="1">
      <c r="J63" s="99"/>
      <c r="K63" s="99"/>
      <c r="L63" s="99"/>
      <c r="M63" s="99"/>
      <c r="N63" s="99"/>
      <c r="O63" s="99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45"/>
      <c r="BL63" s="45"/>
      <c r="BM63" s="45"/>
      <c r="BN63" s="45"/>
      <c r="BO63" s="45"/>
      <c r="BP63" s="45"/>
      <c r="BQ63" s="45"/>
      <c r="BR63" s="45"/>
      <c r="BS63" s="45"/>
      <c r="BT63" s="45"/>
      <c r="BU63" s="45"/>
      <c r="BV63" s="45"/>
      <c r="BW63" s="45"/>
      <c r="BX63" s="45"/>
      <c r="BY63" s="45"/>
      <c r="BZ63" s="45"/>
      <c r="CA63" s="45"/>
      <c r="CB63" s="45"/>
      <c r="CC63" s="45"/>
      <c r="CD63" s="45"/>
      <c r="CE63" s="45"/>
      <c r="CF63" s="45"/>
      <c r="CG63" s="45"/>
      <c r="CH63" s="45"/>
      <c r="CI63" s="45"/>
      <c r="CJ63" s="45"/>
      <c r="CK63" s="45"/>
      <c r="CL63" s="45"/>
      <c r="CM63" s="45"/>
      <c r="CN63" s="45"/>
      <c r="CO63" s="25"/>
    </row>
    <row r="64" spans="10:93" ht="15" customHeight="1">
      <c r="J64" s="99"/>
      <c r="K64" s="99"/>
      <c r="L64" s="99"/>
      <c r="M64" s="99"/>
      <c r="N64" s="99"/>
      <c r="O64" s="99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5"/>
      <c r="BY64" s="45"/>
      <c r="BZ64" s="45"/>
      <c r="CA64" s="45"/>
      <c r="CB64" s="45"/>
      <c r="CC64" s="45"/>
      <c r="CD64" s="45"/>
      <c r="CE64" s="45"/>
      <c r="CF64" s="45"/>
      <c r="CG64" s="45"/>
      <c r="CH64" s="45"/>
      <c r="CI64" s="45"/>
      <c r="CJ64" s="45"/>
      <c r="CK64" s="45"/>
      <c r="CL64" s="45"/>
      <c r="CM64" s="45"/>
      <c r="CN64" s="45"/>
      <c r="CO64" s="25"/>
    </row>
    <row r="65" spans="10:93" ht="15" customHeight="1">
      <c r="J65" s="99"/>
      <c r="K65" s="99"/>
      <c r="L65" s="99"/>
      <c r="M65" s="99"/>
      <c r="N65" s="99"/>
      <c r="O65" s="99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5"/>
      <c r="BJ65" s="45"/>
      <c r="BK65" s="45"/>
      <c r="BL65" s="45"/>
      <c r="BM65" s="45"/>
      <c r="BN65" s="45"/>
      <c r="BO65" s="45"/>
      <c r="BP65" s="45"/>
      <c r="BQ65" s="45"/>
      <c r="BR65" s="45"/>
      <c r="BS65" s="45"/>
      <c r="BT65" s="45"/>
      <c r="BU65" s="45"/>
      <c r="BV65" s="45"/>
      <c r="BW65" s="45"/>
      <c r="BX65" s="45"/>
      <c r="BY65" s="45"/>
      <c r="BZ65" s="45"/>
      <c r="CA65" s="45"/>
      <c r="CB65" s="45"/>
      <c r="CC65" s="45"/>
      <c r="CD65" s="45"/>
      <c r="CE65" s="45"/>
      <c r="CF65" s="45"/>
      <c r="CG65" s="45"/>
      <c r="CH65" s="45"/>
      <c r="CI65" s="45"/>
      <c r="CJ65" s="45"/>
      <c r="CK65" s="45"/>
      <c r="CL65" s="45"/>
      <c r="CM65" s="45"/>
      <c r="CN65" s="45"/>
      <c r="CO65" s="25"/>
    </row>
    <row r="66" spans="10:93" ht="15" customHeight="1">
      <c r="J66" s="99"/>
      <c r="K66" s="99"/>
      <c r="L66" s="99"/>
      <c r="M66" s="99"/>
      <c r="N66" s="99"/>
      <c r="O66" s="99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45"/>
      <c r="BI66" s="45"/>
      <c r="BJ66" s="45"/>
      <c r="BK66" s="45"/>
      <c r="BL66" s="45"/>
      <c r="BM66" s="45"/>
      <c r="BN66" s="45"/>
      <c r="BO66" s="45"/>
      <c r="BP66" s="45"/>
      <c r="BQ66" s="45"/>
      <c r="BR66" s="45"/>
      <c r="BS66" s="45"/>
      <c r="BT66" s="45"/>
      <c r="BU66" s="45"/>
      <c r="BV66" s="45"/>
      <c r="BW66" s="45"/>
      <c r="BX66" s="45"/>
      <c r="BY66" s="45"/>
      <c r="BZ66" s="45"/>
      <c r="CA66" s="45"/>
      <c r="CB66" s="45"/>
      <c r="CC66" s="45"/>
      <c r="CD66" s="45"/>
      <c r="CE66" s="45"/>
      <c r="CF66" s="45"/>
      <c r="CG66" s="45"/>
      <c r="CH66" s="45"/>
      <c r="CI66" s="45"/>
      <c r="CJ66" s="45"/>
      <c r="CK66" s="45"/>
      <c r="CL66" s="45"/>
      <c r="CM66" s="45"/>
      <c r="CN66" s="45"/>
      <c r="CO66" s="25"/>
    </row>
    <row r="67" spans="10:93" ht="15" customHeight="1">
      <c r="J67" s="99"/>
      <c r="K67" s="99"/>
      <c r="L67" s="99"/>
      <c r="M67" s="99"/>
      <c r="N67" s="99"/>
      <c r="O67" s="99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  <c r="BM67" s="45"/>
      <c r="BN67" s="45"/>
      <c r="BO67" s="45"/>
      <c r="BP67" s="45"/>
      <c r="BQ67" s="45"/>
      <c r="BR67" s="45"/>
      <c r="BS67" s="45"/>
      <c r="BT67" s="45"/>
      <c r="BU67" s="45"/>
      <c r="BV67" s="45"/>
      <c r="BW67" s="45"/>
      <c r="BX67" s="45"/>
      <c r="BY67" s="45"/>
      <c r="BZ67" s="45"/>
      <c r="CA67" s="45"/>
      <c r="CB67" s="45"/>
      <c r="CC67" s="45"/>
      <c r="CD67" s="45"/>
      <c r="CE67" s="45"/>
      <c r="CF67" s="45"/>
      <c r="CG67" s="45"/>
      <c r="CH67" s="45"/>
      <c r="CI67" s="45"/>
      <c r="CJ67" s="45"/>
      <c r="CK67" s="45"/>
      <c r="CL67" s="45"/>
      <c r="CM67" s="45"/>
      <c r="CN67" s="45"/>
      <c r="CO67" s="25"/>
    </row>
    <row r="68" spans="10:93" ht="15" customHeight="1">
      <c r="J68" s="99"/>
      <c r="K68" s="99"/>
      <c r="L68" s="99"/>
      <c r="M68" s="99"/>
      <c r="N68" s="99"/>
      <c r="O68" s="99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5"/>
      <c r="BI68" s="45"/>
      <c r="BJ68" s="45"/>
      <c r="BK68" s="45"/>
      <c r="BL68" s="45"/>
      <c r="BM68" s="45"/>
      <c r="BN68" s="45"/>
      <c r="BO68" s="45"/>
      <c r="BP68" s="45"/>
      <c r="BQ68" s="45"/>
      <c r="BR68" s="45"/>
      <c r="BS68" s="45"/>
      <c r="BT68" s="45"/>
      <c r="BU68" s="45"/>
      <c r="BV68" s="45"/>
      <c r="BW68" s="45"/>
      <c r="BX68" s="45"/>
      <c r="BY68" s="45"/>
      <c r="BZ68" s="45"/>
      <c r="CA68" s="45"/>
      <c r="CB68" s="45"/>
      <c r="CC68" s="45"/>
      <c r="CD68" s="45"/>
      <c r="CE68" s="45"/>
      <c r="CF68" s="45"/>
      <c r="CG68" s="45"/>
      <c r="CH68" s="45"/>
      <c r="CI68" s="45"/>
      <c r="CJ68" s="45"/>
      <c r="CK68" s="45"/>
      <c r="CL68" s="45"/>
      <c r="CM68" s="45"/>
      <c r="CN68" s="45"/>
      <c r="CO68" s="25"/>
    </row>
    <row r="69" spans="10:93" ht="15" customHeight="1">
      <c r="J69" s="99"/>
      <c r="K69" s="99"/>
      <c r="L69" s="99"/>
      <c r="M69" s="99"/>
      <c r="N69" s="99"/>
      <c r="O69" s="99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5"/>
      <c r="BJ69" s="45"/>
      <c r="BK69" s="45"/>
      <c r="BL69" s="45"/>
      <c r="BM69" s="45"/>
      <c r="BN69" s="45"/>
      <c r="BO69" s="45"/>
      <c r="BP69" s="45"/>
      <c r="BQ69" s="45"/>
      <c r="BR69" s="45"/>
      <c r="BS69" s="45"/>
      <c r="BT69" s="45"/>
      <c r="BU69" s="45"/>
      <c r="BV69" s="45"/>
      <c r="BW69" s="45"/>
      <c r="BX69" s="45"/>
      <c r="BY69" s="45"/>
      <c r="BZ69" s="45"/>
      <c r="CA69" s="45"/>
      <c r="CB69" s="45"/>
      <c r="CC69" s="45"/>
      <c r="CD69" s="45"/>
      <c r="CE69" s="45"/>
      <c r="CF69" s="45"/>
      <c r="CG69" s="45"/>
      <c r="CH69" s="45"/>
      <c r="CI69" s="45"/>
      <c r="CJ69" s="45"/>
      <c r="CK69" s="45"/>
      <c r="CL69" s="45"/>
      <c r="CM69" s="45"/>
      <c r="CN69" s="45"/>
      <c r="CO69" s="25"/>
    </row>
    <row r="70" spans="10:93" ht="15" customHeight="1">
      <c r="J70" s="99"/>
      <c r="K70" s="99"/>
      <c r="L70" s="99"/>
      <c r="M70" s="99"/>
      <c r="N70" s="99"/>
      <c r="O70" s="99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  <c r="BM70" s="45"/>
      <c r="BN70" s="45"/>
      <c r="BO70" s="45"/>
      <c r="BP70" s="45"/>
      <c r="BQ70" s="45"/>
      <c r="BR70" s="45"/>
      <c r="BS70" s="45"/>
      <c r="BT70" s="45"/>
      <c r="BU70" s="45"/>
      <c r="BV70" s="45"/>
      <c r="BW70" s="45"/>
      <c r="BX70" s="45"/>
      <c r="BY70" s="45"/>
      <c r="BZ70" s="45"/>
      <c r="CA70" s="45"/>
      <c r="CB70" s="45"/>
      <c r="CC70" s="45"/>
      <c r="CD70" s="45"/>
      <c r="CE70" s="45"/>
      <c r="CF70" s="45"/>
      <c r="CG70" s="45"/>
      <c r="CH70" s="45"/>
      <c r="CI70" s="45"/>
      <c r="CJ70" s="45"/>
      <c r="CK70" s="45"/>
      <c r="CL70" s="45"/>
      <c r="CM70" s="45"/>
      <c r="CN70" s="45"/>
      <c r="CO70" s="25"/>
    </row>
    <row r="71" spans="10:93" s="2" customFormat="1" ht="15" customHeight="1">
      <c r="J71" s="96"/>
      <c r="K71" s="96"/>
      <c r="L71" s="96"/>
      <c r="M71" s="96"/>
      <c r="N71" s="96"/>
      <c r="O71" s="9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6"/>
      <c r="BM71" s="36"/>
      <c r="BN71" s="36"/>
      <c r="BO71" s="36"/>
      <c r="BP71" s="36"/>
      <c r="BQ71" s="36"/>
      <c r="BR71" s="36"/>
      <c r="BS71" s="36"/>
      <c r="BT71" s="36"/>
      <c r="BU71" s="36"/>
      <c r="BV71" s="36"/>
      <c r="BW71" s="37"/>
      <c r="BX71" s="37"/>
      <c r="BY71" s="37"/>
      <c r="BZ71" s="37"/>
      <c r="CA71" s="37"/>
      <c r="CB71" s="37"/>
      <c r="CC71" s="37"/>
      <c r="CD71" s="37"/>
      <c r="CE71" s="37"/>
      <c r="CF71" s="37"/>
      <c r="CG71" s="37"/>
      <c r="CH71" s="37"/>
      <c r="CI71" s="37"/>
      <c r="CJ71" s="37"/>
      <c r="CK71" s="37"/>
      <c r="CL71" s="37"/>
      <c r="CM71" s="37"/>
      <c r="CN71" s="37"/>
      <c r="CO71" s="51"/>
    </row>
    <row r="72" spans="10:93" s="2" customFormat="1" ht="15" customHeight="1">
      <c r="J72" s="96"/>
      <c r="K72" s="96"/>
      <c r="L72" s="96"/>
      <c r="M72" s="96"/>
      <c r="N72" s="96"/>
      <c r="O72" s="9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6"/>
      <c r="BL72" s="36"/>
      <c r="BM72" s="36"/>
      <c r="BN72" s="36"/>
      <c r="BO72" s="36"/>
      <c r="BP72" s="36"/>
      <c r="BQ72" s="36"/>
      <c r="BR72" s="36"/>
      <c r="BS72" s="36"/>
      <c r="BT72" s="36"/>
      <c r="BU72" s="36"/>
      <c r="BV72" s="36"/>
      <c r="BW72" s="37"/>
      <c r="BX72" s="37"/>
      <c r="BY72" s="37"/>
      <c r="BZ72" s="37"/>
      <c r="CA72" s="37"/>
      <c r="CB72" s="37"/>
      <c r="CC72" s="37"/>
      <c r="CD72" s="37"/>
      <c r="CE72" s="37"/>
      <c r="CF72" s="37"/>
      <c r="CG72" s="37"/>
      <c r="CH72" s="37"/>
      <c r="CI72" s="37"/>
      <c r="CJ72" s="37"/>
      <c r="CK72" s="37"/>
      <c r="CL72" s="37"/>
      <c r="CM72" s="37"/>
      <c r="CN72" s="37"/>
      <c r="CO72" s="51"/>
    </row>
    <row r="73" spans="10:93" s="2" customFormat="1" ht="15" customHeight="1">
      <c r="J73" s="96"/>
      <c r="K73" s="96"/>
      <c r="L73" s="96"/>
      <c r="M73" s="96"/>
      <c r="N73" s="96"/>
      <c r="O73" s="96"/>
      <c r="P73" s="36"/>
      <c r="Q73" s="36"/>
      <c r="R73" s="36"/>
      <c r="S73" s="36"/>
      <c r="T73" s="36"/>
      <c r="U73" s="36"/>
      <c r="V73" s="36"/>
      <c r="W73" s="38"/>
      <c r="X73" s="38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9"/>
      <c r="BJ73" s="39"/>
      <c r="BK73" s="36"/>
      <c r="BL73" s="36"/>
      <c r="BM73" s="36"/>
      <c r="BN73" s="36"/>
      <c r="BO73" s="36"/>
      <c r="BP73" s="36"/>
      <c r="BQ73" s="39"/>
      <c r="BR73" s="39"/>
      <c r="BS73" s="36"/>
      <c r="BT73" s="36"/>
      <c r="BU73" s="36"/>
      <c r="BV73" s="36"/>
      <c r="BW73" s="37"/>
      <c r="BX73" s="37"/>
      <c r="BY73" s="37"/>
      <c r="BZ73" s="37"/>
      <c r="CA73" s="37"/>
      <c r="CB73" s="37"/>
      <c r="CC73" s="37"/>
      <c r="CD73" s="37"/>
      <c r="CE73" s="37"/>
      <c r="CF73" s="37"/>
      <c r="CG73" s="37"/>
      <c r="CH73" s="37"/>
      <c r="CI73" s="37"/>
      <c r="CJ73" s="37"/>
      <c r="CK73" s="37"/>
      <c r="CL73" s="37"/>
      <c r="CM73" s="37"/>
      <c r="CN73" s="37"/>
      <c r="CO73" s="51"/>
    </row>
    <row r="74" spans="10:93" ht="15" customHeight="1">
      <c r="J74" s="94"/>
      <c r="K74" s="94"/>
      <c r="L74" s="94"/>
      <c r="M74" s="94"/>
      <c r="N74" s="94"/>
      <c r="O74" s="94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25"/>
    </row>
    <row r="75" spans="10:93" ht="15" customHeight="1">
      <c r="J75" s="94"/>
      <c r="K75" s="94"/>
      <c r="L75" s="94"/>
      <c r="M75" s="94"/>
      <c r="N75" s="94"/>
      <c r="O75" s="94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25"/>
    </row>
    <row r="76" spans="10:93" ht="15" customHeight="1">
      <c r="J76" s="94"/>
      <c r="K76" s="94"/>
      <c r="L76" s="94"/>
      <c r="M76" s="94"/>
      <c r="N76" s="94"/>
      <c r="O76" s="94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25"/>
    </row>
    <row r="77" spans="10:93" ht="15" customHeight="1">
      <c r="J77" s="94"/>
      <c r="K77" s="94"/>
      <c r="L77" s="94"/>
      <c r="M77" s="94"/>
      <c r="N77" s="94"/>
      <c r="O77" s="94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25"/>
    </row>
    <row r="78" spans="10:93" ht="15" customHeight="1">
      <c r="J78" s="103"/>
      <c r="K78" s="103"/>
      <c r="L78" s="103"/>
      <c r="M78" s="103"/>
      <c r="N78" s="103"/>
      <c r="O78" s="103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25"/>
    </row>
    <row r="79" spans="10:93" ht="15" customHeight="1">
      <c r="J79" s="94"/>
      <c r="K79" s="94"/>
      <c r="L79" s="94"/>
      <c r="M79" s="94"/>
      <c r="N79" s="94"/>
      <c r="O79" s="94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25"/>
    </row>
    <row r="80" spans="10:93" ht="15" customHeight="1">
      <c r="J80" s="94"/>
      <c r="K80" s="94"/>
      <c r="L80" s="94"/>
      <c r="M80" s="94"/>
      <c r="N80" s="94"/>
      <c r="O80" s="94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25"/>
    </row>
    <row r="81" spans="10:93" ht="15" customHeight="1">
      <c r="J81" s="94"/>
      <c r="K81" s="94"/>
      <c r="L81" s="94"/>
      <c r="M81" s="94"/>
      <c r="N81" s="94"/>
      <c r="O81" s="94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25"/>
    </row>
    <row r="82" spans="10:93" ht="15" customHeight="1">
      <c r="J82" s="94"/>
      <c r="K82" s="94"/>
      <c r="L82" s="94"/>
      <c r="M82" s="94"/>
      <c r="N82" s="94"/>
      <c r="O82" s="94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25"/>
    </row>
    <row r="83" spans="10:93" ht="15" customHeight="1">
      <c r="J83" s="103"/>
      <c r="K83" s="103"/>
      <c r="L83" s="103"/>
      <c r="M83" s="103"/>
      <c r="N83" s="103"/>
      <c r="O83" s="103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1"/>
      <c r="AS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  <c r="BF83" s="41"/>
      <c r="BG83" s="41"/>
      <c r="BH83" s="41"/>
      <c r="BI83" s="41"/>
      <c r="BJ83" s="41"/>
      <c r="BK83" s="41"/>
      <c r="BL83" s="41"/>
      <c r="BM83" s="41"/>
      <c r="BN83" s="41"/>
      <c r="BO83" s="41"/>
      <c r="BP83" s="41"/>
      <c r="BQ83" s="41"/>
      <c r="BR83" s="41"/>
      <c r="BS83" s="41"/>
      <c r="BT83" s="41"/>
      <c r="BU83" s="41"/>
      <c r="BV83" s="41"/>
      <c r="BW83" s="41"/>
      <c r="BX83" s="41"/>
      <c r="BY83" s="41"/>
      <c r="BZ83" s="41"/>
      <c r="CA83" s="41"/>
      <c r="CB83" s="41"/>
      <c r="CC83" s="41"/>
      <c r="CD83" s="41"/>
      <c r="CE83" s="41"/>
      <c r="CF83" s="41"/>
      <c r="CG83" s="41"/>
      <c r="CH83" s="41"/>
      <c r="CI83" s="41"/>
      <c r="CJ83" s="41"/>
      <c r="CK83" s="41"/>
      <c r="CL83" s="41"/>
      <c r="CM83" s="41"/>
      <c r="CN83" s="41"/>
      <c r="CO83" s="25"/>
    </row>
    <row r="84" spans="10:93" ht="15" customHeight="1">
      <c r="J84" s="94"/>
      <c r="K84" s="94"/>
      <c r="L84" s="94"/>
      <c r="M84" s="94"/>
      <c r="N84" s="94"/>
      <c r="O84" s="94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25"/>
    </row>
    <row r="85" spans="10:93" ht="15" customHeight="1">
      <c r="J85" s="94"/>
      <c r="K85" s="94"/>
      <c r="L85" s="94"/>
      <c r="M85" s="94"/>
      <c r="N85" s="94"/>
      <c r="O85" s="94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25"/>
    </row>
    <row r="86" spans="10:93" ht="15" customHeight="1">
      <c r="J86" s="94"/>
      <c r="K86" s="94"/>
      <c r="L86" s="94"/>
      <c r="M86" s="94"/>
      <c r="N86" s="94"/>
      <c r="O86" s="94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25"/>
    </row>
    <row r="87" spans="10:93" ht="15" customHeight="1">
      <c r="J87" s="94"/>
      <c r="K87" s="94"/>
      <c r="L87" s="94"/>
      <c r="M87" s="94"/>
      <c r="N87" s="94"/>
      <c r="O87" s="94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25"/>
    </row>
    <row r="88" spans="10:93" ht="15" customHeight="1">
      <c r="J88" s="94"/>
      <c r="K88" s="94"/>
      <c r="L88" s="94"/>
      <c r="M88" s="94"/>
      <c r="N88" s="94"/>
      <c r="O88" s="94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25"/>
    </row>
    <row r="89" spans="10:93" ht="15" customHeight="1">
      <c r="J89" s="103"/>
      <c r="K89" s="103"/>
      <c r="L89" s="103"/>
      <c r="M89" s="103"/>
      <c r="N89" s="103"/>
      <c r="O89" s="103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41"/>
      <c r="AQ89" s="41"/>
      <c r="AR89" s="41"/>
      <c r="AS89" s="41"/>
      <c r="AT89" s="41"/>
      <c r="AU89" s="41"/>
      <c r="AV89" s="41"/>
      <c r="AW89" s="41"/>
      <c r="AX89" s="41"/>
      <c r="AY89" s="41"/>
      <c r="AZ89" s="41"/>
      <c r="BA89" s="41"/>
      <c r="BB89" s="41"/>
      <c r="BC89" s="41"/>
      <c r="BD89" s="41"/>
      <c r="BE89" s="41"/>
      <c r="BF89" s="41"/>
      <c r="BG89" s="41"/>
      <c r="BH89" s="41"/>
      <c r="BI89" s="41"/>
      <c r="BJ89" s="41"/>
      <c r="BK89" s="41"/>
      <c r="BL89" s="41"/>
      <c r="BM89" s="41"/>
      <c r="BN89" s="41"/>
      <c r="BO89" s="41"/>
      <c r="BP89" s="41"/>
      <c r="BQ89" s="41"/>
      <c r="BR89" s="41"/>
      <c r="BS89" s="41"/>
      <c r="BT89" s="41"/>
      <c r="BU89" s="41"/>
      <c r="BV89" s="41"/>
      <c r="BW89" s="41"/>
      <c r="BX89" s="41"/>
      <c r="BY89" s="41"/>
      <c r="BZ89" s="41"/>
      <c r="CA89" s="41"/>
      <c r="CB89" s="41"/>
      <c r="CC89" s="41"/>
      <c r="CD89" s="41"/>
      <c r="CE89" s="41"/>
      <c r="CF89" s="41"/>
      <c r="CG89" s="41"/>
      <c r="CH89" s="41"/>
      <c r="CI89" s="41"/>
      <c r="CJ89" s="41"/>
      <c r="CK89" s="41"/>
      <c r="CL89" s="41"/>
      <c r="CM89" s="41"/>
      <c r="CN89" s="41"/>
      <c r="CO89" s="25"/>
    </row>
    <row r="90" spans="10:93" ht="15" customHeight="1">
      <c r="J90" s="103"/>
      <c r="K90" s="103"/>
      <c r="L90" s="103"/>
      <c r="M90" s="103"/>
      <c r="N90" s="103"/>
      <c r="O90" s="103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1"/>
      <c r="AT90" s="41"/>
      <c r="AU90" s="41"/>
      <c r="AV90" s="41"/>
      <c r="AW90" s="41"/>
      <c r="AX90" s="41"/>
      <c r="AY90" s="41"/>
      <c r="AZ90" s="41"/>
      <c r="BA90" s="41"/>
      <c r="BB90" s="41"/>
      <c r="BC90" s="41"/>
      <c r="BD90" s="41"/>
      <c r="BE90" s="41"/>
      <c r="BF90" s="41"/>
      <c r="BG90" s="41"/>
      <c r="BH90" s="41"/>
      <c r="BI90" s="41"/>
      <c r="BJ90" s="41"/>
      <c r="BK90" s="41"/>
      <c r="BL90" s="41"/>
      <c r="BM90" s="41"/>
      <c r="BN90" s="41"/>
      <c r="BO90" s="41"/>
      <c r="BP90" s="41"/>
      <c r="BQ90" s="41"/>
      <c r="BR90" s="41"/>
      <c r="BS90" s="41"/>
      <c r="BT90" s="41"/>
      <c r="BU90" s="41"/>
      <c r="BV90" s="41"/>
      <c r="BW90" s="41"/>
      <c r="BX90" s="41"/>
      <c r="BY90" s="41"/>
      <c r="BZ90" s="41"/>
      <c r="CA90" s="41"/>
      <c r="CB90" s="41"/>
      <c r="CC90" s="41"/>
      <c r="CD90" s="41"/>
      <c r="CE90" s="41"/>
      <c r="CF90" s="41"/>
      <c r="CG90" s="41"/>
      <c r="CH90" s="41"/>
      <c r="CI90" s="41"/>
      <c r="CJ90" s="41"/>
      <c r="CK90" s="41"/>
      <c r="CL90" s="41"/>
      <c r="CM90" s="41"/>
      <c r="CN90" s="41"/>
      <c r="CO90" s="25"/>
    </row>
    <row r="91" spans="10:93" ht="15" customHeight="1">
      <c r="J91" s="94"/>
      <c r="K91" s="94"/>
      <c r="L91" s="94"/>
      <c r="M91" s="94"/>
      <c r="N91" s="94"/>
      <c r="O91" s="94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25"/>
    </row>
    <row r="92" spans="10:93" ht="15" customHeight="1">
      <c r="J92" s="94"/>
      <c r="K92" s="94"/>
      <c r="L92" s="94"/>
      <c r="M92" s="94"/>
      <c r="N92" s="94"/>
      <c r="O92" s="94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25"/>
    </row>
    <row r="93" spans="10:93" ht="15" customHeight="1">
      <c r="J93" s="94"/>
      <c r="K93" s="94"/>
      <c r="L93" s="94"/>
      <c r="M93" s="94"/>
      <c r="N93" s="94"/>
      <c r="O93" s="94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25"/>
    </row>
    <row r="94" spans="10:93" ht="15" customHeight="1">
      <c r="J94" s="103"/>
      <c r="K94" s="103"/>
      <c r="L94" s="103"/>
      <c r="M94" s="103"/>
      <c r="N94" s="103"/>
      <c r="O94" s="103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  <c r="AP94" s="41"/>
      <c r="AQ94" s="41"/>
      <c r="AR94" s="41"/>
      <c r="AS94" s="41"/>
      <c r="AT94" s="41"/>
      <c r="AU94" s="41"/>
      <c r="AV94" s="41"/>
      <c r="AW94" s="41"/>
      <c r="AX94" s="41"/>
      <c r="AY94" s="41"/>
      <c r="AZ94" s="41"/>
      <c r="BA94" s="41"/>
      <c r="BB94" s="41"/>
      <c r="BC94" s="41"/>
      <c r="BD94" s="41"/>
      <c r="BE94" s="41"/>
      <c r="BF94" s="41"/>
      <c r="BG94" s="41"/>
      <c r="BH94" s="41"/>
      <c r="BI94" s="41"/>
      <c r="BJ94" s="41"/>
      <c r="BK94" s="41"/>
      <c r="BL94" s="41"/>
      <c r="BM94" s="41"/>
      <c r="BN94" s="41"/>
      <c r="BO94" s="41"/>
      <c r="BP94" s="41"/>
      <c r="BQ94" s="41"/>
      <c r="BR94" s="41"/>
      <c r="BS94" s="41"/>
      <c r="BT94" s="41"/>
      <c r="BU94" s="41"/>
      <c r="BV94" s="41"/>
      <c r="BW94" s="41"/>
      <c r="BX94" s="41"/>
      <c r="BY94" s="41"/>
      <c r="BZ94" s="41"/>
      <c r="CA94" s="41"/>
      <c r="CB94" s="41"/>
      <c r="CC94" s="41"/>
      <c r="CD94" s="41"/>
      <c r="CE94" s="41"/>
      <c r="CF94" s="41"/>
      <c r="CG94" s="41"/>
      <c r="CH94" s="41"/>
      <c r="CI94" s="41"/>
      <c r="CJ94" s="41"/>
      <c r="CK94" s="41"/>
      <c r="CL94" s="41"/>
      <c r="CM94" s="41"/>
      <c r="CN94" s="41"/>
      <c r="CO94" s="25"/>
    </row>
    <row r="95" spans="10:93" ht="15" customHeight="1">
      <c r="J95" s="94"/>
      <c r="K95" s="94"/>
      <c r="L95" s="94"/>
      <c r="M95" s="94"/>
      <c r="N95" s="94"/>
      <c r="O95" s="94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25"/>
    </row>
    <row r="96" spans="10:93" ht="15" customHeight="1">
      <c r="J96" s="94"/>
      <c r="K96" s="94"/>
      <c r="L96" s="94"/>
      <c r="M96" s="94"/>
      <c r="N96" s="94"/>
      <c r="O96" s="94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25"/>
    </row>
    <row r="97" spans="10:93" ht="15" customHeight="1">
      <c r="J97" s="94"/>
      <c r="K97" s="94"/>
      <c r="L97" s="94"/>
      <c r="M97" s="94"/>
      <c r="N97" s="94"/>
      <c r="O97" s="94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25"/>
    </row>
    <row r="98" spans="10:93" ht="15" customHeight="1">
      <c r="J98" s="94"/>
      <c r="K98" s="94"/>
      <c r="L98" s="94"/>
      <c r="M98" s="94"/>
      <c r="N98" s="94"/>
      <c r="O98" s="94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25"/>
    </row>
    <row r="99" spans="10:93" ht="15" customHeight="1">
      <c r="J99" s="94"/>
      <c r="K99" s="94"/>
      <c r="L99" s="94"/>
      <c r="M99" s="94"/>
      <c r="N99" s="94"/>
      <c r="O99" s="94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25"/>
    </row>
    <row r="100" spans="10:93" ht="15" customHeight="1">
      <c r="J100" s="96"/>
      <c r="K100" s="96"/>
      <c r="L100" s="96"/>
      <c r="M100" s="96"/>
      <c r="N100" s="96"/>
      <c r="O100" s="96"/>
      <c r="P100" s="36"/>
      <c r="Q100" s="36"/>
      <c r="R100" s="36"/>
      <c r="S100" s="36"/>
      <c r="T100" s="36"/>
      <c r="U100" s="36"/>
      <c r="V100" s="36"/>
      <c r="W100" s="43"/>
      <c r="X100" s="43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6"/>
      <c r="AV100" s="36"/>
      <c r="AW100" s="36"/>
      <c r="AX100" s="36"/>
      <c r="AY100" s="36"/>
      <c r="AZ100" s="36"/>
      <c r="BA100" s="36"/>
      <c r="BB100" s="36"/>
      <c r="BC100" s="36"/>
      <c r="BD100" s="36"/>
      <c r="BE100" s="36"/>
      <c r="BF100" s="36"/>
      <c r="BG100" s="36"/>
      <c r="BH100" s="36"/>
      <c r="BI100" s="43"/>
      <c r="BJ100" s="43"/>
      <c r="BK100" s="36"/>
      <c r="BL100" s="36"/>
      <c r="BM100" s="36"/>
      <c r="BN100" s="36"/>
      <c r="BO100" s="36"/>
      <c r="BP100" s="36"/>
      <c r="BQ100" s="43"/>
      <c r="BR100" s="43"/>
      <c r="BS100" s="36"/>
      <c r="BT100" s="36"/>
      <c r="BU100" s="36"/>
      <c r="BV100" s="36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25"/>
    </row>
    <row r="101" spans="10:93" ht="15" customHeight="1">
      <c r="J101" s="96"/>
      <c r="K101" s="96"/>
      <c r="L101" s="96"/>
      <c r="M101" s="96"/>
      <c r="N101" s="96"/>
      <c r="O101" s="96"/>
      <c r="P101" s="36"/>
      <c r="Q101" s="36"/>
      <c r="R101" s="36"/>
      <c r="S101" s="36"/>
      <c r="T101" s="36"/>
      <c r="U101" s="36"/>
      <c r="V101" s="36"/>
      <c r="W101" s="43"/>
      <c r="X101" s="43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/>
      <c r="AV101" s="36"/>
      <c r="AW101" s="36"/>
      <c r="AX101" s="36"/>
      <c r="AY101" s="36"/>
      <c r="AZ101" s="36"/>
      <c r="BA101" s="36"/>
      <c r="BB101" s="36"/>
      <c r="BC101" s="36"/>
      <c r="BD101" s="36"/>
      <c r="BE101" s="36"/>
      <c r="BF101" s="36"/>
      <c r="BG101" s="36"/>
      <c r="BH101" s="36"/>
      <c r="BI101" s="43"/>
      <c r="BJ101" s="43"/>
      <c r="BK101" s="36"/>
      <c r="BL101" s="36"/>
      <c r="BM101" s="36"/>
      <c r="BN101" s="36"/>
      <c r="BO101" s="36"/>
      <c r="BP101" s="36"/>
      <c r="BQ101" s="43"/>
      <c r="BR101" s="43"/>
      <c r="BS101" s="36"/>
      <c r="BT101" s="36"/>
      <c r="BU101" s="36"/>
      <c r="BV101" s="36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25"/>
    </row>
    <row r="102" spans="10:93" ht="15" customHeight="1">
      <c r="J102" s="104"/>
      <c r="K102" s="104"/>
      <c r="L102" s="104"/>
      <c r="M102" s="98"/>
      <c r="N102" s="104"/>
      <c r="O102" s="98"/>
      <c r="P102" s="50"/>
      <c r="Q102" s="44"/>
      <c r="R102" s="50"/>
      <c r="S102" s="44"/>
      <c r="T102" s="50"/>
      <c r="U102" s="44"/>
      <c r="V102" s="50"/>
      <c r="W102" s="44"/>
      <c r="X102" s="50"/>
      <c r="Y102" s="44"/>
      <c r="Z102" s="50"/>
      <c r="AA102" s="44"/>
      <c r="AB102" s="50"/>
      <c r="AC102" s="44"/>
      <c r="AD102" s="50"/>
      <c r="AE102" s="44"/>
      <c r="AF102" s="50"/>
      <c r="AG102" s="44"/>
      <c r="AH102" s="50"/>
      <c r="AI102" s="44"/>
      <c r="AJ102" s="50"/>
      <c r="AK102" s="44"/>
      <c r="AL102" s="50"/>
      <c r="AM102" s="44"/>
      <c r="AN102" s="50"/>
      <c r="AO102" s="44"/>
      <c r="AP102" s="50"/>
      <c r="AQ102" s="44"/>
      <c r="AR102" s="50"/>
      <c r="AS102" s="44"/>
      <c r="AT102" s="50"/>
      <c r="AU102" s="44"/>
      <c r="AV102" s="50"/>
      <c r="AW102" s="44"/>
      <c r="AX102" s="50"/>
      <c r="AY102" s="44"/>
      <c r="AZ102" s="50"/>
      <c r="BA102" s="44"/>
      <c r="BB102" s="50"/>
      <c r="BC102" s="44"/>
      <c r="BD102" s="50"/>
      <c r="BE102" s="44"/>
      <c r="BF102" s="50"/>
      <c r="BG102" s="44"/>
      <c r="BH102" s="50"/>
      <c r="BI102" s="44"/>
      <c r="BJ102" s="50"/>
      <c r="BK102" s="44"/>
      <c r="BL102" s="50"/>
      <c r="BM102" s="44"/>
      <c r="BN102" s="50"/>
      <c r="BO102" s="44"/>
      <c r="BP102" s="50"/>
      <c r="BQ102" s="44"/>
      <c r="BR102" s="50"/>
      <c r="BS102" s="44"/>
      <c r="BT102" s="50"/>
      <c r="BU102" s="44"/>
      <c r="BV102" s="50"/>
      <c r="BW102" s="44"/>
      <c r="BX102" s="50"/>
      <c r="BY102" s="44"/>
      <c r="BZ102" s="50"/>
      <c r="CA102" s="44"/>
      <c r="CB102" s="50"/>
      <c r="CC102" s="44"/>
      <c r="CD102" s="50"/>
      <c r="CE102" s="44"/>
      <c r="CF102" s="50"/>
      <c r="CG102" s="44"/>
      <c r="CH102" s="50"/>
      <c r="CI102" s="44"/>
      <c r="CJ102" s="50"/>
      <c r="CK102" s="44"/>
      <c r="CL102" s="50"/>
      <c r="CM102" s="44"/>
      <c r="CN102" s="50"/>
      <c r="CO102" s="44"/>
    </row>
    <row r="103" spans="10:93" ht="15" customHeight="1">
      <c r="J103" s="104"/>
      <c r="K103" s="104"/>
      <c r="L103" s="104"/>
      <c r="M103" s="98"/>
      <c r="N103" s="104"/>
      <c r="O103" s="98"/>
      <c r="P103" s="50"/>
      <c r="Q103" s="44"/>
      <c r="R103" s="50"/>
      <c r="S103" s="44"/>
      <c r="T103" s="50"/>
      <c r="U103" s="44"/>
      <c r="V103" s="50"/>
      <c r="W103" s="44"/>
      <c r="X103" s="50"/>
      <c r="Y103" s="44"/>
      <c r="Z103" s="50"/>
      <c r="AA103" s="44"/>
      <c r="AB103" s="50"/>
      <c r="AC103" s="44"/>
      <c r="AD103" s="50"/>
      <c r="AE103" s="44"/>
      <c r="AF103" s="50"/>
      <c r="AG103" s="44"/>
      <c r="AH103" s="50"/>
      <c r="AI103" s="44"/>
      <c r="AJ103" s="50"/>
      <c r="AK103" s="44"/>
      <c r="AL103" s="50"/>
      <c r="AM103" s="44"/>
      <c r="AN103" s="50"/>
      <c r="AO103" s="44"/>
      <c r="AP103" s="50"/>
      <c r="AQ103" s="44"/>
      <c r="AR103" s="50"/>
      <c r="AS103" s="44"/>
      <c r="AT103" s="50"/>
      <c r="AU103" s="44"/>
      <c r="AV103" s="50"/>
      <c r="AW103" s="44"/>
      <c r="AX103" s="50"/>
      <c r="AY103" s="44"/>
      <c r="AZ103" s="50"/>
      <c r="BA103" s="44"/>
      <c r="BB103" s="50"/>
      <c r="BC103" s="44"/>
      <c r="BD103" s="50"/>
      <c r="BE103" s="44"/>
      <c r="BF103" s="50"/>
      <c r="BG103" s="44"/>
      <c r="BH103" s="50"/>
      <c r="BI103" s="44"/>
      <c r="BJ103" s="50"/>
      <c r="BK103" s="44"/>
      <c r="BL103" s="50"/>
      <c r="BM103" s="44"/>
      <c r="BN103" s="50"/>
      <c r="BO103" s="44"/>
      <c r="BP103" s="50"/>
      <c r="BQ103" s="44"/>
      <c r="BR103" s="50"/>
      <c r="BS103" s="44"/>
      <c r="BT103" s="50"/>
      <c r="BU103" s="44"/>
      <c r="BV103" s="50"/>
      <c r="BW103" s="44"/>
      <c r="BX103" s="50"/>
      <c r="BY103" s="44"/>
      <c r="BZ103" s="50"/>
      <c r="CA103" s="44"/>
      <c r="CB103" s="50"/>
      <c r="CC103" s="44"/>
      <c r="CD103" s="50"/>
      <c r="CE103" s="44"/>
      <c r="CF103" s="50"/>
      <c r="CG103" s="44"/>
      <c r="CH103" s="50"/>
      <c r="CI103" s="44"/>
      <c r="CJ103" s="50"/>
      <c r="CK103" s="44"/>
      <c r="CL103" s="50"/>
      <c r="CM103" s="44"/>
      <c r="CN103" s="50"/>
      <c r="CO103" s="44"/>
    </row>
    <row r="104" spans="10:93" ht="15" customHeight="1">
      <c r="J104" s="104"/>
      <c r="K104" s="104"/>
      <c r="L104" s="104"/>
      <c r="M104" s="98"/>
      <c r="N104" s="104"/>
      <c r="O104" s="98"/>
      <c r="P104" s="50"/>
      <c r="Q104" s="44"/>
      <c r="R104" s="50"/>
      <c r="S104" s="44"/>
      <c r="T104" s="50"/>
      <c r="U104" s="44"/>
      <c r="V104" s="50"/>
      <c r="W104" s="44"/>
      <c r="X104" s="50"/>
      <c r="Y104" s="44"/>
      <c r="Z104" s="50"/>
      <c r="AA104" s="44"/>
      <c r="AB104" s="50"/>
      <c r="AC104" s="44"/>
      <c r="AD104" s="50"/>
      <c r="AE104" s="44"/>
      <c r="AF104" s="50"/>
      <c r="AG104" s="44"/>
      <c r="AH104" s="50"/>
      <c r="AI104" s="44"/>
      <c r="AJ104" s="50"/>
      <c r="AK104" s="44"/>
      <c r="AL104" s="50"/>
      <c r="AM104" s="44"/>
      <c r="AN104" s="50"/>
      <c r="AO104" s="44"/>
      <c r="AP104" s="50"/>
      <c r="AQ104" s="44"/>
      <c r="AR104" s="50"/>
      <c r="AS104" s="44"/>
      <c r="AT104" s="50"/>
      <c r="AU104" s="44"/>
      <c r="AV104" s="50"/>
      <c r="AW104" s="44"/>
      <c r="AX104" s="50"/>
      <c r="AY104" s="44"/>
      <c r="AZ104" s="50"/>
      <c r="BA104" s="44"/>
      <c r="BB104" s="50"/>
      <c r="BC104" s="44"/>
      <c r="BD104" s="50"/>
      <c r="BE104" s="44"/>
      <c r="BF104" s="50"/>
      <c r="BG104" s="44"/>
      <c r="BH104" s="50"/>
      <c r="BI104" s="44"/>
      <c r="BJ104" s="50"/>
      <c r="BK104" s="44"/>
      <c r="BL104" s="50"/>
      <c r="BM104" s="44"/>
      <c r="BN104" s="50"/>
      <c r="BO104" s="44"/>
      <c r="BP104" s="50"/>
      <c r="BQ104" s="44"/>
      <c r="BR104" s="50"/>
      <c r="BS104" s="44"/>
      <c r="BT104" s="50"/>
      <c r="BU104" s="44"/>
      <c r="BV104" s="50"/>
      <c r="BW104" s="44"/>
      <c r="BX104" s="50"/>
      <c r="BY104" s="44"/>
      <c r="BZ104" s="50"/>
      <c r="CA104" s="44"/>
      <c r="CB104" s="50"/>
      <c r="CC104" s="44"/>
      <c r="CD104" s="50"/>
      <c r="CE104" s="44"/>
      <c r="CF104" s="50"/>
      <c r="CG104" s="44"/>
      <c r="CH104" s="50"/>
      <c r="CI104" s="44"/>
      <c r="CJ104" s="50"/>
      <c r="CK104" s="44"/>
      <c r="CL104" s="50"/>
      <c r="CM104" s="44"/>
      <c r="CN104" s="50"/>
      <c r="CO104" s="44"/>
    </row>
    <row r="105" spans="10:93" ht="15" customHeight="1">
      <c r="J105" s="104"/>
      <c r="K105" s="104"/>
      <c r="L105" s="104"/>
      <c r="M105" s="98"/>
      <c r="N105" s="104"/>
      <c r="O105" s="98"/>
      <c r="P105" s="50"/>
      <c r="Q105" s="44"/>
      <c r="R105" s="50"/>
      <c r="S105" s="44"/>
      <c r="T105" s="50"/>
      <c r="U105" s="44"/>
      <c r="V105" s="50"/>
      <c r="W105" s="44"/>
      <c r="X105" s="50"/>
      <c r="Y105" s="44"/>
      <c r="Z105" s="50"/>
      <c r="AA105" s="44"/>
      <c r="AB105" s="50"/>
      <c r="AC105" s="44"/>
      <c r="AD105" s="50"/>
      <c r="AE105" s="44"/>
      <c r="AF105" s="50"/>
      <c r="AG105" s="44"/>
      <c r="AH105" s="50"/>
      <c r="AI105" s="44"/>
      <c r="AJ105" s="50"/>
      <c r="AK105" s="44"/>
      <c r="AL105" s="50"/>
      <c r="AM105" s="44"/>
      <c r="AN105" s="50"/>
      <c r="AO105" s="44"/>
      <c r="AP105" s="50"/>
      <c r="AQ105" s="44"/>
      <c r="AR105" s="50"/>
      <c r="AS105" s="44"/>
      <c r="AT105" s="50"/>
      <c r="AU105" s="44"/>
      <c r="AV105" s="50"/>
      <c r="AW105" s="44"/>
      <c r="AX105" s="50"/>
      <c r="AY105" s="44"/>
      <c r="AZ105" s="50"/>
      <c r="BA105" s="44"/>
      <c r="BB105" s="50"/>
      <c r="BC105" s="44"/>
      <c r="BD105" s="50"/>
      <c r="BE105" s="44"/>
      <c r="BF105" s="50"/>
      <c r="BG105" s="44"/>
      <c r="BH105" s="50"/>
      <c r="BI105" s="44"/>
      <c r="BJ105" s="50"/>
      <c r="BK105" s="44"/>
      <c r="BL105" s="50"/>
      <c r="BM105" s="44"/>
      <c r="BN105" s="50"/>
      <c r="BO105" s="44"/>
      <c r="BP105" s="50"/>
      <c r="BQ105" s="44"/>
      <c r="BR105" s="50"/>
      <c r="BS105" s="44"/>
      <c r="BT105" s="50"/>
      <c r="BU105" s="44"/>
      <c r="BV105" s="50"/>
      <c r="BW105" s="44"/>
      <c r="BX105" s="50"/>
      <c r="BY105" s="44"/>
      <c r="BZ105" s="50"/>
      <c r="CA105" s="44"/>
      <c r="CB105" s="50"/>
      <c r="CC105" s="44"/>
      <c r="CD105" s="50"/>
      <c r="CE105" s="44"/>
      <c r="CF105" s="50"/>
      <c r="CG105" s="44"/>
      <c r="CH105" s="50"/>
      <c r="CI105" s="44"/>
      <c r="CJ105" s="50"/>
      <c r="CK105" s="44"/>
      <c r="CL105" s="50"/>
      <c r="CM105" s="44"/>
      <c r="CN105" s="50"/>
      <c r="CO105" s="44"/>
    </row>
    <row r="106" spans="10:93" ht="15" customHeight="1">
      <c r="J106" s="98"/>
      <c r="K106" s="98"/>
      <c r="L106" s="98"/>
      <c r="M106" s="98"/>
      <c r="N106" s="98"/>
      <c r="O106" s="98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  <c r="AM106" s="44"/>
      <c r="AN106" s="44"/>
      <c r="AO106" s="44"/>
      <c r="AP106" s="44"/>
      <c r="AQ106" s="44"/>
      <c r="AR106" s="44"/>
      <c r="AS106" s="44"/>
      <c r="AT106" s="44"/>
      <c r="AU106" s="44"/>
      <c r="AV106" s="44"/>
      <c r="AW106" s="44"/>
      <c r="AX106" s="44"/>
      <c r="AY106" s="44"/>
      <c r="AZ106" s="44"/>
      <c r="BA106" s="44"/>
      <c r="BB106" s="44"/>
      <c r="BC106" s="44"/>
      <c r="BD106" s="44"/>
      <c r="BE106" s="44"/>
      <c r="BF106" s="44"/>
      <c r="BG106" s="44"/>
      <c r="BH106" s="44"/>
      <c r="BI106" s="44"/>
      <c r="BJ106" s="44"/>
      <c r="BK106" s="44"/>
      <c r="BL106" s="44"/>
      <c r="BM106" s="44"/>
      <c r="BN106" s="44"/>
      <c r="BO106" s="44"/>
      <c r="BP106" s="44"/>
      <c r="BQ106" s="44"/>
      <c r="BR106" s="44"/>
      <c r="BS106" s="44"/>
      <c r="BT106" s="44"/>
      <c r="BU106" s="44"/>
      <c r="BV106" s="44"/>
      <c r="BW106" s="44"/>
      <c r="BX106" s="44"/>
      <c r="BY106" s="44"/>
      <c r="BZ106" s="44"/>
      <c r="CA106" s="44"/>
      <c r="CB106" s="44"/>
      <c r="CC106" s="44"/>
      <c r="CD106" s="44"/>
      <c r="CE106" s="44"/>
      <c r="CF106" s="44"/>
      <c r="CG106" s="44"/>
      <c r="CH106" s="44"/>
      <c r="CI106" s="44"/>
      <c r="CJ106" s="44"/>
      <c r="CK106" s="44"/>
      <c r="CL106" s="44"/>
      <c r="CM106" s="44"/>
      <c r="CN106" s="44"/>
      <c r="CO106" s="44"/>
    </row>
    <row r="107" spans="10:93" ht="15" customHeight="1">
      <c r="J107" s="98"/>
      <c r="K107" s="98"/>
      <c r="L107" s="98"/>
      <c r="M107" s="98"/>
      <c r="N107" s="98"/>
      <c r="O107" s="98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  <c r="AO107" s="44"/>
      <c r="AP107" s="44"/>
      <c r="AQ107" s="44"/>
      <c r="AR107" s="44"/>
      <c r="AS107" s="44"/>
      <c r="AT107" s="44"/>
      <c r="AU107" s="44"/>
      <c r="AV107" s="44"/>
      <c r="AW107" s="44"/>
      <c r="AX107" s="44"/>
      <c r="AY107" s="44"/>
      <c r="AZ107" s="44"/>
      <c r="BA107" s="44"/>
      <c r="BB107" s="44"/>
      <c r="BC107" s="44"/>
      <c r="BD107" s="44"/>
      <c r="BE107" s="44"/>
      <c r="BF107" s="44"/>
      <c r="BG107" s="44"/>
      <c r="BH107" s="44"/>
      <c r="BI107" s="44"/>
      <c r="BJ107" s="44"/>
      <c r="BK107" s="44"/>
      <c r="BL107" s="44"/>
      <c r="BM107" s="44"/>
      <c r="BN107" s="44"/>
      <c r="BO107" s="44"/>
      <c r="BP107" s="44"/>
      <c r="BQ107" s="44"/>
      <c r="BR107" s="44"/>
      <c r="BS107" s="44"/>
      <c r="BT107" s="44"/>
      <c r="BU107" s="44"/>
      <c r="BV107" s="44"/>
      <c r="BW107" s="44"/>
      <c r="BX107" s="44"/>
      <c r="BY107" s="44"/>
      <c r="BZ107" s="44"/>
      <c r="CA107" s="44"/>
      <c r="CB107" s="44"/>
      <c r="CC107" s="44"/>
      <c r="CD107" s="44"/>
      <c r="CE107" s="44"/>
      <c r="CF107" s="44"/>
      <c r="CG107" s="44"/>
      <c r="CH107" s="44"/>
      <c r="CI107" s="44"/>
      <c r="CJ107" s="44"/>
      <c r="CK107" s="44"/>
      <c r="CL107" s="44"/>
      <c r="CM107" s="44"/>
      <c r="CN107" s="44"/>
      <c r="CO107" s="44"/>
    </row>
    <row r="108" spans="10:93" ht="15" customHeight="1">
      <c r="J108" s="98"/>
      <c r="K108" s="98"/>
      <c r="L108" s="98"/>
      <c r="M108" s="98"/>
      <c r="N108" s="98"/>
      <c r="O108" s="98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  <c r="AM108" s="44"/>
      <c r="AN108" s="44"/>
      <c r="AO108" s="44"/>
      <c r="AP108" s="44"/>
      <c r="AQ108" s="44"/>
      <c r="AR108" s="44"/>
      <c r="AS108" s="44"/>
      <c r="AT108" s="44"/>
      <c r="AU108" s="44"/>
      <c r="AV108" s="44"/>
      <c r="AW108" s="44"/>
      <c r="AX108" s="44"/>
      <c r="AY108" s="44"/>
      <c r="AZ108" s="44"/>
      <c r="BA108" s="44"/>
      <c r="BB108" s="44"/>
      <c r="BC108" s="44"/>
      <c r="BD108" s="44"/>
      <c r="BE108" s="44"/>
      <c r="BF108" s="44"/>
      <c r="BG108" s="44"/>
      <c r="BH108" s="44"/>
      <c r="BI108" s="44"/>
      <c r="BJ108" s="44"/>
      <c r="BK108" s="44"/>
      <c r="BL108" s="44"/>
      <c r="BM108" s="44"/>
      <c r="BN108" s="44"/>
      <c r="BO108" s="44"/>
      <c r="BP108" s="44"/>
      <c r="BQ108" s="44"/>
      <c r="BR108" s="44"/>
      <c r="BS108" s="44"/>
      <c r="BT108" s="44"/>
      <c r="BU108" s="44"/>
      <c r="BV108" s="44"/>
      <c r="BW108" s="44"/>
      <c r="BX108" s="44"/>
      <c r="BY108" s="44"/>
      <c r="BZ108" s="44"/>
      <c r="CA108" s="44"/>
      <c r="CB108" s="44"/>
      <c r="CC108" s="44"/>
      <c r="CD108" s="44"/>
      <c r="CE108" s="44"/>
      <c r="CF108" s="44"/>
      <c r="CG108" s="44"/>
      <c r="CH108" s="44"/>
      <c r="CI108" s="44"/>
      <c r="CJ108" s="44"/>
      <c r="CK108" s="44"/>
      <c r="CL108" s="44"/>
      <c r="CM108" s="44"/>
      <c r="CN108" s="44"/>
      <c r="CO108" s="44"/>
    </row>
    <row r="109" spans="10:93" ht="15" customHeight="1">
      <c r="J109" s="98"/>
      <c r="K109" s="98"/>
      <c r="L109" s="98"/>
      <c r="M109" s="98"/>
      <c r="N109" s="98"/>
      <c r="O109" s="98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  <c r="AM109" s="44"/>
      <c r="AN109" s="44"/>
      <c r="AO109" s="44"/>
      <c r="AP109" s="44"/>
      <c r="AQ109" s="44"/>
      <c r="AR109" s="44"/>
      <c r="AS109" s="44"/>
      <c r="AT109" s="44"/>
      <c r="AU109" s="44"/>
      <c r="AV109" s="44"/>
      <c r="AW109" s="44"/>
      <c r="AX109" s="44"/>
      <c r="AY109" s="44"/>
      <c r="AZ109" s="44"/>
      <c r="BA109" s="44"/>
      <c r="BB109" s="44"/>
      <c r="BC109" s="44"/>
      <c r="BD109" s="44"/>
      <c r="BE109" s="44"/>
      <c r="BF109" s="44"/>
      <c r="BG109" s="44"/>
      <c r="BH109" s="44"/>
      <c r="BI109" s="44"/>
      <c r="BJ109" s="44"/>
      <c r="BK109" s="44"/>
      <c r="BL109" s="44"/>
      <c r="BM109" s="44"/>
      <c r="BN109" s="44"/>
      <c r="BO109" s="44"/>
      <c r="BP109" s="44"/>
      <c r="BQ109" s="44"/>
      <c r="BR109" s="44"/>
      <c r="BS109" s="44"/>
      <c r="BT109" s="44"/>
      <c r="BU109" s="44"/>
      <c r="BV109" s="44"/>
      <c r="BW109" s="44"/>
      <c r="BX109" s="44"/>
      <c r="BY109" s="44"/>
      <c r="BZ109" s="44"/>
      <c r="CA109" s="44"/>
      <c r="CB109" s="44"/>
      <c r="CC109" s="44"/>
      <c r="CD109" s="44"/>
      <c r="CE109" s="44"/>
      <c r="CF109" s="44"/>
      <c r="CG109" s="44"/>
      <c r="CH109" s="44"/>
      <c r="CI109" s="44"/>
      <c r="CJ109" s="44"/>
      <c r="CK109" s="44"/>
      <c r="CL109" s="44"/>
      <c r="CM109" s="44"/>
      <c r="CN109" s="44"/>
      <c r="CO109" s="44"/>
    </row>
    <row r="110" spans="10:93" ht="15" customHeight="1">
      <c r="J110" s="98"/>
      <c r="K110" s="98"/>
      <c r="L110" s="98"/>
      <c r="M110" s="98"/>
      <c r="N110" s="98"/>
      <c r="O110" s="98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  <c r="AG110" s="44"/>
      <c r="AH110" s="44"/>
      <c r="AI110" s="44"/>
      <c r="AJ110" s="44"/>
      <c r="AK110" s="44"/>
      <c r="AL110" s="44"/>
      <c r="AM110" s="44"/>
      <c r="AN110" s="44"/>
      <c r="AO110" s="44"/>
      <c r="AP110" s="44"/>
      <c r="AQ110" s="44"/>
      <c r="AR110" s="44"/>
      <c r="AS110" s="44"/>
      <c r="AT110" s="44"/>
      <c r="AU110" s="44"/>
      <c r="AV110" s="44"/>
      <c r="AW110" s="44"/>
      <c r="AX110" s="44"/>
      <c r="AY110" s="44"/>
      <c r="AZ110" s="44"/>
      <c r="BA110" s="44"/>
      <c r="BB110" s="44"/>
      <c r="BC110" s="44"/>
      <c r="BD110" s="44"/>
      <c r="BE110" s="44"/>
      <c r="BF110" s="44"/>
      <c r="BG110" s="44"/>
      <c r="BH110" s="44"/>
      <c r="BI110" s="44"/>
      <c r="BJ110" s="44"/>
      <c r="BK110" s="44"/>
      <c r="BL110" s="44"/>
      <c r="BM110" s="44"/>
      <c r="BN110" s="44"/>
      <c r="BO110" s="44"/>
      <c r="BP110" s="44"/>
      <c r="BQ110" s="44"/>
      <c r="BR110" s="44"/>
      <c r="BS110" s="44"/>
      <c r="BT110" s="44"/>
      <c r="BU110" s="44"/>
      <c r="BV110" s="44"/>
      <c r="BW110" s="44"/>
      <c r="BX110" s="44"/>
      <c r="BY110" s="44"/>
      <c r="BZ110" s="44"/>
      <c r="CA110" s="44"/>
      <c r="CB110" s="44"/>
      <c r="CC110" s="44"/>
      <c r="CD110" s="44"/>
      <c r="CE110" s="44"/>
      <c r="CF110" s="44"/>
      <c r="CG110" s="44"/>
      <c r="CH110" s="44"/>
      <c r="CI110" s="44"/>
      <c r="CJ110" s="44"/>
      <c r="CK110" s="44"/>
      <c r="CL110" s="44"/>
      <c r="CM110" s="44"/>
      <c r="CN110" s="44"/>
      <c r="CO110" s="44"/>
    </row>
    <row r="111" spans="10:93" ht="15" customHeight="1">
      <c r="J111" s="98"/>
      <c r="K111" s="98"/>
      <c r="L111" s="98"/>
      <c r="M111" s="98"/>
      <c r="N111" s="98"/>
      <c r="O111" s="98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  <c r="AG111" s="44"/>
      <c r="AH111" s="44"/>
      <c r="AI111" s="44"/>
      <c r="AJ111" s="44"/>
      <c r="AK111" s="44"/>
      <c r="AL111" s="44"/>
      <c r="AM111" s="44"/>
      <c r="AN111" s="44"/>
      <c r="AO111" s="44"/>
      <c r="AP111" s="44"/>
      <c r="AQ111" s="44"/>
      <c r="AR111" s="44"/>
      <c r="AS111" s="44"/>
      <c r="AT111" s="44"/>
      <c r="AU111" s="44"/>
      <c r="AV111" s="44"/>
      <c r="AW111" s="44"/>
      <c r="AX111" s="44"/>
      <c r="AY111" s="44"/>
      <c r="AZ111" s="44"/>
      <c r="BA111" s="44"/>
      <c r="BB111" s="44"/>
      <c r="BC111" s="44"/>
      <c r="BD111" s="44"/>
      <c r="BE111" s="44"/>
      <c r="BF111" s="44"/>
      <c r="BG111" s="44"/>
      <c r="BH111" s="44"/>
      <c r="BI111" s="44"/>
      <c r="BJ111" s="44"/>
      <c r="BK111" s="44"/>
      <c r="BL111" s="44"/>
      <c r="BM111" s="44"/>
      <c r="BN111" s="44"/>
      <c r="BO111" s="44"/>
      <c r="BP111" s="44"/>
      <c r="BQ111" s="44"/>
      <c r="BR111" s="44"/>
      <c r="BS111" s="44"/>
      <c r="BT111" s="44"/>
      <c r="BU111" s="44"/>
      <c r="BV111" s="44"/>
      <c r="BW111" s="44"/>
      <c r="BX111" s="44"/>
      <c r="BY111" s="44"/>
      <c r="BZ111" s="44"/>
      <c r="CA111" s="44"/>
      <c r="CB111" s="44"/>
      <c r="CC111" s="44"/>
      <c r="CD111" s="44"/>
      <c r="CE111" s="44"/>
      <c r="CF111" s="44"/>
      <c r="CG111" s="44"/>
      <c r="CH111" s="44"/>
      <c r="CI111" s="44"/>
      <c r="CJ111" s="44"/>
      <c r="CK111" s="44"/>
      <c r="CL111" s="44"/>
      <c r="CM111" s="44"/>
      <c r="CN111" s="44"/>
      <c r="CO111" s="44"/>
    </row>
    <row r="112" spans="10:93" ht="15" customHeight="1">
      <c r="J112" s="98"/>
      <c r="K112" s="98"/>
      <c r="L112" s="98"/>
      <c r="M112" s="98"/>
      <c r="N112" s="98"/>
      <c r="O112" s="98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4"/>
      <c r="AK112" s="44"/>
      <c r="AL112" s="44"/>
      <c r="AM112" s="44"/>
      <c r="AN112" s="44"/>
      <c r="AO112" s="44"/>
      <c r="AP112" s="44"/>
      <c r="AQ112" s="44"/>
      <c r="AR112" s="44"/>
      <c r="AS112" s="44"/>
      <c r="AT112" s="44"/>
      <c r="AU112" s="44"/>
      <c r="AV112" s="44"/>
      <c r="AW112" s="44"/>
      <c r="AX112" s="44"/>
      <c r="AY112" s="44"/>
      <c r="AZ112" s="44"/>
      <c r="BA112" s="44"/>
      <c r="BB112" s="44"/>
      <c r="BC112" s="44"/>
      <c r="BD112" s="44"/>
      <c r="BE112" s="44"/>
      <c r="BF112" s="44"/>
      <c r="BG112" s="44"/>
      <c r="BH112" s="44"/>
      <c r="BI112" s="44"/>
      <c r="BJ112" s="44"/>
      <c r="BK112" s="44"/>
      <c r="BL112" s="44"/>
      <c r="BM112" s="44"/>
      <c r="BN112" s="44"/>
      <c r="BO112" s="44"/>
      <c r="BP112" s="44"/>
      <c r="BQ112" s="44"/>
      <c r="BR112" s="44"/>
      <c r="BS112" s="44"/>
      <c r="BT112" s="44"/>
      <c r="BU112" s="44"/>
      <c r="BV112" s="44"/>
      <c r="BW112" s="44"/>
      <c r="BX112" s="44"/>
      <c r="BY112" s="44"/>
      <c r="BZ112" s="44"/>
      <c r="CA112" s="44"/>
      <c r="CB112" s="44"/>
      <c r="CC112" s="44"/>
      <c r="CD112" s="44"/>
      <c r="CE112" s="44"/>
      <c r="CF112" s="44"/>
      <c r="CG112" s="44"/>
      <c r="CH112" s="44"/>
      <c r="CI112" s="44"/>
      <c r="CJ112" s="44"/>
      <c r="CK112" s="44"/>
      <c r="CL112" s="44"/>
      <c r="CM112" s="44"/>
      <c r="CN112" s="44"/>
      <c r="CO112" s="44"/>
    </row>
    <row r="113" spans="10:93" ht="15" customHeight="1">
      <c r="J113" s="98"/>
      <c r="K113" s="98"/>
      <c r="L113" s="98"/>
      <c r="M113" s="98"/>
      <c r="N113" s="98"/>
      <c r="O113" s="98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  <c r="AJ113" s="44"/>
      <c r="AK113" s="44"/>
      <c r="AL113" s="44"/>
      <c r="AM113" s="44"/>
      <c r="AN113" s="44"/>
      <c r="AO113" s="44"/>
      <c r="AP113" s="44"/>
      <c r="AQ113" s="44"/>
      <c r="AR113" s="44"/>
      <c r="AS113" s="44"/>
      <c r="AT113" s="44"/>
      <c r="AU113" s="44"/>
      <c r="AV113" s="44"/>
      <c r="AW113" s="44"/>
      <c r="AX113" s="44"/>
      <c r="AY113" s="44"/>
      <c r="AZ113" s="44"/>
      <c r="BA113" s="44"/>
      <c r="BB113" s="44"/>
      <c r="BC113" s="44"/>
      <c r="BD113" s="44"/>
      <c r="BE113" s="44"/>
      <c r="BF113" s="44"/>
      <c r="BG113" s="44"/>
      <c r="BH113" s="44"/>
      <c r="BI113" s="44"/>
      <c r="BJ113" s="44"/>
      <c r="BK113" s="44"/>
      <c r="BL113" s="44"/>
      <c r="BM113" s="44"/>
      <c r="BN113" s="44"/>
      <c r="BO113" s="44"/>
      <c r="BP113" s="44"/>
      <c r="BQ113" s="44"/>
      <c r="BR113" s="44"/>
      <c r="BS113" s="44"/>
      <c r="BT113" s="44"/>
      <c r="BU113" s="44"/>
      <c r="BV113" s="44"/>
      <c r="BW113" s="44"/>
      <c r="BX113" s="44"/>
      <c r="BY113" s="44"/>
      <c r="BZ113" s="44"/>
      <c r="CA113" s="44"/>
      <c r="CB113" s="44"/>
      <c r="CC113" s="44"/>
      <c r="CD113" s="44"/>
      <c r="CE113" s="44"/>
      <c r="CF113" s="44"/>
      <c r="CG113" s="44"/>
      <c r="CH113" s="44"/>
      <c r="CI113" s="44"/>
      <c r="CJ113" s="44"/>
      <c r="CK113" s="44"/>
      <c r="CL113" s="44"/>
      <c r="CM113" s="44"/>
      <c r="CN113" s="44"/>
      <c r="CO113" s="44"/>
    </row>
    <row r="114" spans="10:93" ht="15" customHeight="1">
      <c r="J114" s="98"/>
      <c r="K114" s="98"/>
      <c r="L114" s="98"/>
      <c r="M114" s="98"/>
      <c r="N114" s="98"/>
      <c r="O114" s="98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  <c r="AJ114" s="44"/>
      <c r="AK114" s="44"/>
      <c r="AL114" s="44"/>
      <c r="AM114" s="44"/>
      <c r="AN114" s="44"/>
      <c r="AO114" s="44"/>
      <c r="AP114" s="44"/>
      <c r="AQ114" s="44"/>
      <c r="AR114" s="44"/>
      <c r="AS114" s="44"/>
      <c r="AT114" s="44"/>
      <c r="AU114" s="44"/>
      <c r="AV114" s="44"/>
      <c r="AW114" s="44"/>
      <c r="AX114" s="44"/>
      <c r="AY114" s="44"/>
      <c r="AZ114" s="44"/>
      <c r="BA114" s="44"/>
      <c r="BB114" s="44"/>
      <c r="BC114" s="44"/>
      <c r="BD114" s="44"/>
      <c r="BE114" s="44"/>
      <c r="BF114" s="44"/>
      <c r="BG114" s="44"/>
      <c r="BH114" s="44"/>
      <c r="BI114" s="44"/>
      <c r="BJ114" s="44"/>
      <c r="BK114" s="44"/>
      <c r="BL114" s="44"/>
      <c r="BM114" s="44"/>
      <c r="BN114" s="44"/>
      <c r="BO114" s="44"/>
      <c r="BP114" s="44"/>
      <c r="BQ114" s="44"/>
      <c r="BR114" s="44"/>
      <c r="BS114" s="44"/>
      <c r="BT114" s="44"/>
      <c r="BU114" s="44"/>
      <c r="BV114" s="44"/>
      <c r="BW114" s="44"/>
      <c r="BX114" s="44"/>
      <c r="BY114" s="44"/>
      <c r="BZ114" s="44"/>
      <c r="CA114" s="44"/>
      <c r="CB114" s="44"/>
      <c r="CC114" s="44"/>
      <c r="CD114" s="44"/>
      <c r="CE114" s="44"/>
      <c r="CF114" s="44"/>
      <c r="CG114" s="44"/>
      <c r="CH114" s="44"/>
      <c r="CI114" s="44"/>
      <c r="CJ114" s="44"/>
      <c r="CK114" s="44"/>
      <c r="CL114" s="44"/>
      <c r="CM114" s="44"/>
      <c r="CN114" s="44"/>
      <c r="CO114" s="44"/>
    </row>
    <row r="115" spans="10:93" ht="15" customHeight="1">
      <c r="J115" s="98"/>
      <c r="K115" s="98"/>
      <c r="L115" s="98"/>
      <c r="M115" s="98"/>
      <c r="N115" s="98"/>
      <c r="O115" s="98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4"/>
      <c r="AK115" s="44"/>
      <c r="AL115" s="44"/>
      <c r="AM115" s="44"/>
      <c r="AN115" s="44"/>
      <c r="AO115" s="44"/>
      <c r="AP115" s="44"/>
      <c r="AQ115" s="44"/>
      <c r="AR115" s="44"/>
      <c r="AS115" s="44"/>
      <c r="AT115" s="44"/>
      <c r="AU115" s="44"/>
      <c r="AV115" s="44"/>
      <c r="AW115" s="44"/>
      <c r="AX115" s="44"/>
      <c r="AY115" s="44"/>
      <c r="AZ115" s="44"/>
      <c r="BA115" s="44"/>
      <c r="BB115" s="44"/>
      <c r="BC115" s="44"/>
      <c r="BD115" s="44"/>
      <c r="BE115" s="44"/>
      <c r="BF115" s="44"/>
      <c r="BG115" s="44"/>
      <c r="BH115" s="44"/>
      <c r="BI115" s="44"/>
      <c r="BJ115" s="44"/>
      <c r="BK115" s="44"/>
      <c r="BL115" s="44"/>
      <c r="BM115" s="44"/>
      <c r="BN115" s="44"/>
      <c r="BO115" s="44"/>
      <c r="BP115" s="44"/>
      <c r="BQ115" s="44"/>
      <c r="BR115" s="44"/>
      <c r="BS115" s="44"/>
      <c r="BT115" s="44"/>
      <c r="BU115" s="44"/>
      <c r="BV115" s="44"/>
      <c r="BW115" s="44"/>
      <c r="BX115" s="44"/>
      <c r="BY115" s="44"/>
      <c r="BZ115" s="44"/>
      <c r="CA115" s="44"/>
      <c r="CB115" s="44"/>
      <c r="CC115" s="44"/>
      <c r="CD115" s="44"/>
      <c r="CE115" s="44"/>
      <c r="CF115" s="44"/>
      <c r="CG115" s="44"/>
      <c r="CH115" s="44"/>
      <c r="CI115" s="44"/>
      <c r="CJ115" s="44"/>
      <c r="CK115" s="44"/>
      <c r="CL115" s="44"/>
      <c r="CM115" s="44"/>
      <c r="CN115" s="44"/>
      <c r="CO115" s="44"/>
    </row>
    <row r="116" spans="10:93" ht="15" customHeight="1">
      <c r="J116" s="98"/>
      <c r="K116" s="98"/>
      <c r="L116" s="98"/>
      <c r="M116" s="98"/>
      <c r="N116" s="98"/>
      <c r="O116" s="98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  <c r="AG116" s="44"/>
      <c r="AH116" s="44"/>
      <c r="AI116" s="44"/>
      <c r="AJ116" s="44"/>
      <c r="AK116" s="44"/>
      <c r="AL116" s="44"/>
      <c r="AM116" s="44"/>
      <c r="AN116" s="44"/>
      <c r="AO116" s="44"/>
      <c r="AP116" s="44"/>
      <c r="AQ116" s="44"/>
      <c r="AR116" s="44"/>
      <c r="AS116" s="44"/>
      <c r="AT116" s="44"/>
      <c r="AU116" s="44"/>
      <c r="AV116" s="44"/>
      <c r="AW116" s="44"/>
      <c r="AX116" s="44"/>
      <c r="AY116" s="44"/>
      <c r="AZ116" s="44"/>
      <c r="BA116" s="44"/>
      <c r="BB116" s="44"/>
      <c r="BC116" s="44"/>
      <c r="BD116" s="44"/>
      <c r="BE116" s="44"/>
      <c r="BF116" s="44"/>
      <c r="BG116" s="44"/>
      <c r="BH116" s="44"/>
      <c r="BI116" s="44"/>
      <c r="BJ116" s="44"/>
      <c r="BK116" s="44"/>
      <c r="BL116" s="44"/>
      <c r="BM116" s="44"/>
      <c r="BN116" s="44"/>
      <c r="BO116" s="44"/>
      <c r="BP116" s="44"/>
      <c r="BQ116" s="44"/>
      <c r="BR116" s="44"/>
      <c r="BS116" s="44"/>
      <c r="BT116" s="44"/>
      <c r="BU116" s="44"/>
      <c r="BV116" s="44"/>
      <c r="BW116" s="44"/>
      <c r="BX116" s="44"/>
      <c r="BY116" s="44"/>
      <c r="BZ116" s="44"/>
      <c r="CA116" s="44"/>
      <c r="CB116" s="44"/>
      <c r="CC116" s="44"/>
      <c r="CD116" s="44"/>
      <c r="CE116" s="44"/>
      <c r="CF116" s="44"/>
      <c r="CG116" s="44"/>
      <c r="CH116" s="44"/>
      <c r="CI116" s="44"/>
      <c r="CJ116" s="44"/>
      <c r="CK116" s="44"/>
      <c r="CL116" s="44"/>
      <c r="CM116" s="44"/>
      <c r="CN116" s="44"/>
      <c r="CO116" s="44"/>
    </row>
    <row r="117" spans="10:93" ht="15" customHeight="1">
      <c r="J117" s="98"/>
      <c r="K117" s="98"/>
      <c r="L117" s="98"/>
      <c r="M117" s="98"/>
      <c r="N117" s="98"/>
      <c r="O117" s="98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  <c r="AT117" s="44"/>
      <c r="AU117" s="44"/>
      <c r="AV117" s="44"/>
      <c r="AW117" s="44"/>
      <c r="AX117" s="44"/>
      <c r="AY117" s="44"/>
      <c r="AZ117" s="44"/>
      <c r="BA117" s="44"/>
      <c r="BB117" s="44"/>
      <c r="BC117" s="44"/>
      <c r="BD117" s="44"/>
      <c r="BE117" s="44"/>
      <c r="BF117" s="44"/>
      <c r="BG117" s="44"/>
      <c r="BH117" s="44"/>
      <c r="BI117" s="44"/>
      <c r="BJ117" s="44"/>
      <c r="BK117" s="44"/>
      <c r="BL117" s="44"/>
      <c r="BM117" s="44"/>
      <c r="BN117" s="44"/>
      <c r="BO117" s="44"/>
      <c r="BP117" s="44"/>
      <c r="BQ117" s="44"/>
      <c r="BR117" s="44"/>
      <c r="BS117" s="44"/>
      <c r="BT117" s="44"/>
      <c r="BU117" s="44"/>
      <c r="BV117" s="44"/>
      <c r="BW117" s="44"/>
      <c r="BX117" s="44"/>
      <c r="BY117" s="44"/>
      <c r="BZ117" s="44"/>
      <c r="CA117" s="44"/>
      <c r="CB117" s="44"/>
      <c r="CC117" s="44"/>
      <c r="CD117" s="44"/>
      <c r="CE117" s="44"/>
      <c r="CF117" s="44"/>
      <c r="CG117" s="44"/>
      <c r="CH117" s="44"/>
      <c r="CI117" s="44"/>
      <c r="CJ117" s="44"/>
      <c r="CK117" s="44"/>
      <c r="CL117" s="44"/>
      <c r="CM117" s="44"/>
      <c r="CN117" s="44"/>
      <c r="CO117" s="44"/>
    </row>
    <row r="118" spans="10:93" ht="15" customHeight="1">
      <c r="J118" s="98"/>
      <c r="K118" s="98"/>
      <c r="L118" s="98"/>
      <c r="M118" s="98"/>
      <c r="N118" s="98"/>
      <c r="O118" s="98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  <c r="AG118" s="44"/>
      <c r="AH118" s="44"/>
      <c r="AI118" s="44"/>
      <c r="AJ118" s="44"/>
      <c r="AK118" s="44"/>
      <c r="AL118" s="44"/>
      <c r="AM118" s="44"/>
      <c r="AN118" s="44"/>
      <c r="AO118" s="44"/>
      <c r="AP118" s="44"/>
      <c r="AQ118" s="44"/>
      <c r="AR118" s="44"/>
      <c r="AS118" s="44"/>
      <c r="AT118" s="44"/>
      <c r="AU118" s="44"/>
      <c r="AV118" s="44"/>
      <c r="AW118" s="44"/>
      <c r="AX118" s="44"/>
      <c r="AY118" s="44"/>
      <c r="AZ118" s="44"/>
      <c r="BA118" s="44"/>
      <c r="BB118" s="44"/>
      <c r="BC118" s="44"/>
      <c r="BD118" s="44"/>
      <c r="BE118" s="44"/>
      <c r="BF118" s="44"/>
      <c r="BG118" s="44"/>
      <c r="BH118" s="44"/>
      <c r="BI118" s="44"/>
      <c r="BJ118" s="44"/>
      <c r="BK118" s="44"/>
      <c r="BL118" s="44"/>
      <c r="BM118" s="44"/>
      <c r="BN118" s="44"/>
      <c r="BO118" s="44"/>
      <c r="BP118" s="44"/>
      <c r="BQ118" s="44"/>
      <c r="BR118" s="44"/>
      <c r="BS118" s="44"/>
      <c r="BT118" s="44"/>
      <c r="BU118" s="44"/>
      <c r="BV118" s="44"/>
      <c r="BW118" s="44"/>
      <c r="BX118" s="44"/>
      <c r="BY118" s="44"/>
      <c r="BZ118" s="44"/>
      <c r="CA118" s="44"/>
      <c r="CB118" s="44"/>
      <c r="CC118" s="44"/>
      <c r="CD118" s="44"/>
      <c r="CE118" s="44"/>
      <c r="CF118" s="44"/>
      <c r="CG118" s="44"/>
      <c r="CH118" s="44"/>
      <c r="CI118" s="44"/>
      <c r="CJ118" s="44"/>
      <c r="CK118" s="44"/>
      <c r="CL118" s="44"/>
      <c r="CM118" s="44"/>
      <c r="CN118" s="44"/>
      <c r="CO118" s="44"/>
    </row>
    <row r="119" spans="10:93" ht="15" customHeight="1">
      <c r="J119" s="98"/>
      <c r="K119" s="98"/>
      <c r="L119" s="98"/>
      <c r="M119" s="98"/>
      <c r="N119" s="98"/>
      <c r="O119" s="98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  <c r="AG119" s="44"/>
      <c r="AH119" s="44"/>
      <c r="AI119" s="44"/>
      <c r="AJ119" s="44"/>
      <c r="AK119" s="44"/>
      <c r="AL119" s="44"/>
      <c r="AM119" s="44"/>
      <c r="AN119" s="44"/>
      <c r="AO119" s="44"/>
      <c r="AP119" s="44"/>
      <c r="AQ119" s="44"/>
      <c r="AR119" s="44"/>
      <c r="AS119" s="44"/>
      <c r="AT119" s="44"/>
      <c r="AU119" s="44"/>
      <c r="AV119" s="44"/>
      <c r="AW119" s="44"/>
      <c r="AX119" s="44"/>
      <c r="AY119" s="44"/>
      <c r="AZ119" s="44"/>
      <c r="BA119" s="44"/>
      <c r="BB119" s="44"/>
      <c r="BC119" s="44"/>
      <c r="BD119" s="44"/>
      <c r="BE119" s="44"/>
      <c r="BF119" s="44"/>
      <c r="BG119" s="44"/>
      <c r="BH119" s="44"/>
      <c r="BI119" s="44"/>
      <c r="BJ119" s="44"/>
      <c r="BK119" s="44"/>
      <c r="BL119" s="44"/>
      <c r="BM119" s="44"/>
      <c r="BN119" s="44"/>
      <c r="BO119" s="44"/>
      <c r="BP119" s="44"/>
      <c r="BQ119" s="44"/>
      <c r="BR119" s="44"/>
      <c r="BS119" s="44"/>
      <c r="BT119" s="44"/>
      <c r="BU119" s="44"/>
      <c r="BV119" s="44"/>
      <c r="BW119" s="44"/>
      <c r="BX119" s="44"/>
      <c r="BY119" s="44"/>
      <c r="BZ119" s="44"/>
      <c r="CA119" s="44"/>
      <c r="CB119" s="44"/>
      <c r="CC119" s="44"/>
      <c r="CD119" s="44"/>
      <c r="CE119" s="44"/>
      <c r="CF119" s="44"/>
      <c r="CG119" s="44"/>
      <c r="CH119" s="44"/>
      <c r="CI119" s="44"/>
      <c r="CJ119" s="44"/>
      <c r="CK119" s="44"/>
      <c r="CL119" s="44"/>
      <c r="CM119" s="44"/>
      <c r="CN119" s="44"/>
      <c r="CO119" s="44"/>
    </row>
    <row r="120" spans="10:93" ht="15" customHeight="1">
      <c r="J120" s="98"/>
      <c r="K120" s="98"/>
      <c r="L120" s="98"/>
      <c r="M120" s="98"/>
      <c r="N120" s="98"/>
      <c r="O120" s="98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  <c r="AA120" s="44"/>
      <c r="AB120" s="44"/>
      <c r="AC120" s="44"/>
      <c r="AD120" s="44"/>
      <c r="AE120" s="44"/>
      <c r="AF120" s="44"/>
      <c r="AG120" s="44"/>
      <c r="AH120" s="44"/>
      <c r="AI120" s="44"/>
      <c r="AJ120" s="44"/>
      <c r="AK120" s="44"/>
      <c r="AL120" s="44"/>
      <c r="AM120" s="44"/>
      <c r="AN120" s="44"/>
      <c r="AO120" s="44"/>
      <c r="AP120" s="44"/>
      <c r="AQ120" s="44"/>
      <c r="AR120" s="44"/>
      <c r="AS120" s="44"/>
      <c r="AT120" s="44"/>
      <c r="AU120" s="44"/>
      <c r="AV120" s="44"/>
      <c r="AW120" s="44"/>
      <c r="AX120" s="44"/>
      <c r="AY120" s="44"/>
      <c r="AZ120" s="44"/>
      <c r="BA120" s="44"/>
      <c r="BB120" s="44"/>
      <c r="BC120" s="44"/>
      <c r="BD120" s="44"/>
      <c r="BE120" s="44"/>
      <c r="BF120" s="44"/>
      <c r="BG120" s="44"/>
      <c r="BH120" s="44"/>
      <c r="BI120" s="44"/>
      <c r="BJ120" s="44"/>
      <c r="BK120" s="44"/>
      <c r="BL120" s="44"/>
      <c r="BM120" s="44"/>
      <c r="BN120" s="44"/>
      <c r="BO120" s="44"/>
      <c r="BP120" s="44"/>
      <c r="BQ120" s="44"/>
      <c r="BR120" s="44"/>
      <c r="BS120" s="44"/>
      <c r="BT120" s="44"/>
      <c r="BU120" s="44"/>
      <c r="BV120" s="44"/>
      <c r="BW120" s="44"/>
      <c r="BX120" s="44"/>
      <c r="BY120" s="44"/>
      <c r="BZ120" s="44"/>
      <c r="CA120" s="44"/>
      <c r="CB120" s="44"/>
      <c r="CC120" s="44"/>
      <c r="CD120" s="44"/>
      <c r="CE120" s="44"/>
      <c r="CF120" s="44"/>
      <c r="CG120" s="44"/>
      <c r="CH120" s="44"/>
      <c r="CI120" s="44"/>
      <c r="CJ120" s="44"/>
      <c r="CK120" s="44"/>
      <c r="CL120" s="44"/>
      <c r="CM120" s="44"/>
      <c r="CN120" s="44"/>
      <c r="CO120" s="44"/>
    </row>
    <row r="121" spans="10:93" ht="15" customHeight="1">
      <c r="J121" s="98"/>
      <c r="K121" s="98"/>
      <c r="L121" s="98"/>
      <c r="M121" s="98"/>
      <c r="N121" s="98"/>
      <c r="O121" s="98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  <c r="AA121" s="44"/>
      <c r="AB121" s="44"/>
      <c r="AC121" s="44"/>
      <c r="AD121" s="44"/>
      <c r="AE121" s="44"/>
      <c r="AF121" s="44"/>
      <c r="AG121" s="44"/>
      <c r="AH121" s="44"/>
      <c r="AI121" s="44"/>
      <c r="AJ121" s="44"/>
      <c r="AK121" s="44"/>
      <c r="AL121" s="44"/>
      <c r="AM121" s="44"/>
      <c r="AN121" s="44"/>
      <c r="AO121" s="44"/>
      <c r="AP121" s="44"/>
      <c r="AQ121" s="44"/>
      <c r="AR121" s="44"/>
      <c r="AS121" s="44"/>
      <c r="AT121" s="44"/>
      <c r="AU121" s="44"/>
      <c r="AV121" s="44"/>
      <c r="AW121" s="44"/>
      <c r="AX121" s="44"/>
      <c r="AY121" s="44"/>
      <c r="AZ121" s="44"/>
      <c r="BA121" s="44"/>
      <c r="BB121" s="44"/>
      <c r="BC121" s="44"/>
      <c r="BD121" s="44"/>
      <c r="BE121" s="44"/>
      <c r="BF121" s="44"/>
      <c r="BG121" s="44"/>
      <c r="BH121" s="44"/>
      <c r="BI121" s="44"/>
      <c r="BJ121" s="44"/>
      <c r="BK121" s="44"/>
      <c r="BL121" s="44"/>
      <c r="BM121" s="44"/>
      <c r="BN121" s="44"/>
      <c r="BO121" s="44"/>
      <c r="BP121" s="44"/>
      <c r="BQ121" s="44"/>
      <c r="BR121" s="44"/>
      <c r="BS121" s="44"/>
      <c r="BT121" s="44"/>
      <c r="BU121" s="44"/>
      <c r="BV121" s="44"/>
      <c r="BW121" s="44"/>
      <c r="BX121" s="44"/>
      <c r="BY121" s="44"/>
      <c r="BZ121" s="44"/>
      <c r="CA121" s="44"/>
      <c r="CB121" s="44"/>
      <c r="CC121" s="44"/>
      <c r="CD121" s="44"/>
      <c r="CE121" s="44"/>
      <c r="CF121" s="44"/>
      <c r="CG121" s="44"/>
      <c r="CH121" s="44"/>
      <c r="CI121" s="44"/>
      <c r="CJ121" s="44"/>
      <c r="CK121" s="44"/>
      <c r="CL121" s="44"/>
      <c r="CM121" s="44"/>
      <c r="CN121" s="44"/>
      <c r="CO121" s="44"/>
    </row>
    <row r="122" spans="10:93" ht="15" customHeight="1">
      <c r="J122" s="98"/>
      <c r="K122" s="98"/>
      <c r="L122" s="98"/>
      <c r="M122" s="98"/>
      <c r="N122" s="98"/>
      <c r="O122" s="98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  <c r="AA122" s="44"/>
      <c r="AB122" s="44"/>
      <c r="AC122" s="44"/>
      <c r="AD122" s="44"/>
      <c r="AE122" s="44"/>
      <c r="AF122" s="44"/>
      <c r="AG122" s="44"/>
      <c r="AH122" s="44"/>
      <c r="AI122" s="44"/>
      <c r="AJ122" s="44"/>
      <c r="AK122" s="44"/>
      <c r="AL122" s="44"/>
      <c r="AM122" s="44"/>
      <c r="AN122" s="44"/>
      <c r="AO122" s="44"/>
      <c r="AP122" s="44"/>
      <c r="AQ122" s="44"/>
      <c r="AR122" s="44"/>
      <c r="AS122" s="44"/>
      <c r="AT122" s="44"/>
      <c r="AU122" s="44"/>
      <c r="AV122" s="44"/>
      <c r="AW122" s="44"/>
      <c r="AX122" s="44"/>
      <c r="AY122" s="44"/>
      <c r="AZ122" s="44"/>
      <c r="BA122" s="44"/>
      <c r="BB122" s="44"/>
      <c r="BC122" s="44"/>
      <c r="BD122" s="44"/>
      <c r="BE122" s="44"/>
      <c r="BF122" s="44"/>
      <c r="BG122" s="44"/>
      <c r="BH122" s="44"/>
      <c r="BI122" s="44"/>
      <c r="BJ122" s="44"/>
      <c r="BK122" s="44"/>
      <c r="BL122" s="44"/>
      <c r="BM122" s="44"/>
      <c r="BN122" s="44"/>
      <c r="BO122" s="44"/>
      <c r="BP122" s="44"/>
      <c r="BQ122" s="44"/>
      <c r="BR122" s="44"/>
      <c r="BS122" s="44"/>
      <c r="BT122" s="44"/>
      <c r="BU122" s="44"/>
      <c r="BV122" s="44"/>
      <c r="BW122" s="44"/>
      <c r="BX122" s="44"/>
      <c r="BY122" s="44"/>
      <c r="BZ122" s="44"/>
      <c r="CA122" s="44"/>
      <c r="CB122" s="44"/>
      <c r="CC122" s="44"/>
      <c r="CD122" s="44"/>
      <c r="CE122" s="44"/>
      <c r="CF122" s="44"/>
      <c r="CG122" s="44"/>
      <c r="CH122" s="44"/>
      <c r="CI122" s="44"/>
      <c r="CJ122" s="44"/>
      <c r="CK122" s="44"/>
      <c r="CL122" s="44"/>
      <c r="CM122" s="44"/>
      <c r="CN122" s="44"/>
      <c r="CO122" s="44"/>
    </row>
    <row r="123" spans="10:93" ht="15" customHeight="1">
      <c r="J123" s="98"/>
      <c r="K123" s="98"/>
      <c r="L123" s="98"/>
      <c r="M123" s="98"/>
      <c r="N123" s="98"/>
      <c r="O123" s="98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  <c r="AA123" s="44"/>
      <c r="AB123" s="44"/>
      <c r="AC123" s="44"/>
      <c r="AD123" s="44"/>
      <c r="AE123" s="44"/>
      <c r="AF123" s="44"/>
      <c r="AG123" s="44"/>
      <c r="AH123" s="44"/>
      <c r="AI123" s="44"/>
      <c r="AJ123" s="44"/>
      <c r="AK123" s="44"/>
      <c r="AL123" s="44"/>
      <c r="AM123" s="44"/>
      <c r="AN123" s="44"/>
      <c r="AO123" s="44"/>
      <c r="AP123" s="44"/>
      <c r="AQ123" s="44"/>
      <c r="AR123" s="44"/>
      <c r="AS123" s="44"/>
      <c r="AT123" s="44"/>
      <c r="AU123" s="44"/>
      <c r="AV123" s="44"/>
      <c r="AW123" s="44"/>
      <c r="AX123" s="44"/>
      <c r="AY123" s="44"/>
      <c r="AZ123" s="44"/>
      <c r="BA123" s="44"/>
      <c r="BB123" s="44"/>
      <c r="BC123" s="44"/>
      <c r="BD123" s="44"/>
      <c r="BE123" s="44"/>
      <c r="BF123" s="44"/>
      <c r="BG123" s="44"/>
      <c r="BH123" s="44"/>
      <c r="BI123" s="44"/>
      <c r="BJ123" s="44"/>
      <c r="BK123" s="44"/>
      <c r="BL123" s="44"/>
      <c r="BM123" s="44"/>
      <c r="BN123" s="44"/>
      <c r="BO123" s="44"/>
      <c r="BP123" s="44"/>
      <c r="BQ123" s="44"/>
      <c r="BR123" s="44"/>
      <c r="BS123" s="44"/>
      <c r="BT123" s="44"/>
      <c r="BU123" s="44"/>
      <c r="BV123" s="44"/>
      <c r="BW123" s="44"/>
      <c r="BX123" s="44"/>
      <c r="BY123" s="44"/>
      <c r="BZ123" s="44"/>
      <c r="CA123" s="44"/>
      <c r="CB123" s="44"/>
      <c r="CC123" s="44"/>
      <c r="CD123" s="44"/>
      <c r="CE123" s="44"/>
      <c r="CF123" s="44"/>
      <c r="CG123" s="44"/>
      <c r="CH123" s="44"/>
      <c r="CI123" s="44"/>
      <c r="CJ123" s="44"/>
      <c r="CK123" s="44"/>
      <c r="CL123" s="44"/>
      <c r="CM123" s="44"/>
      <c r="CN123" s="44"/>
      <c r="CO123" s="44"/>
    </row>
    <row r="124" spans="10:93" ht="15" customHeight="1">
      <c r="J124" s="98"/>
      <c r="K124" s="98"/>
      <c r="L124" s="98"/>
      <c r="M124" s="98"/>
      <c r="N124" s="98"/>
      <c r="O124" s="98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44"/>
      <c r="AA124" s="44"/>
      <c r="AB124" s="44"/>
      <c r="AC124" s="44"/>
      <c r="AD124" s="44"/>
      <c r="AE124" s="44"/>
      <c r="AF124" s="44"/>
      <c r="AG124" s="44"/>
      <c r="AH124" s="44"/>
      <c r="AI124" s="44"/>
      <c r="AJ124" s="44"/>
      <c r="AK124" s="44"/>
      <c r="AL124" s="44"/>
      <c r="AM124" s="44"/>
      <c r="AN124" s="44"/>
      <c r="AO124" s="44"/>
      <c r="AP124" s="44"/>
      <c r="AQ124" s="44"/>
      <c r="AR124" s="44"/>
      <c r="AS124" s="44"/>
      <c r="AT124" s="44"/>
      <c r="AU124" s="44"/>
      <c r="AV124" s="44"/>
      <c r="AW124" s="44"/>
      <c r="AX124" s="44"/>
      <c r="AY124" s="44"/>
      <c r="AZ124" s="44"/>
      <c r="BA124" s="44"/>
      <c r="BB124" s="44"/>
      <c r="BC124" s="44"/>
      <c r="BD124" s="44"/>
      <c r="BE124" s="44"/>
      <c r="BF124" s="44"/>
      <c r="BG124" s="44"/>
      <c r="BH124" s="44"/>
      <c r="BI124" s="44"/>
      <c r="BJ124" s="44"/>
      <c r="BK124" s="44"/>
      <c r="BL124" s="44"/>
      <c r="BM124" s="44"/>
      <c r="BN124" s="44"/>
      <c r="BO124" s="44"/>
      <c r="BP124" s="44"/>
      <c r="BQ124" s="44"/>
      <c r="BR124" s="44"/>
      <c r="BS124" s="44"/>
      <c r="BT124" s="44"/>
      <c r="BU124" s="44"/>
      <c r="BV124" s="44"/>
      <c r="BW124" s="44"/>
      <c r="BX124" s="44"/>
      <c r="BY124" s="44"/>
      <c r="BZ124" s="44"/>
      <c r="CA124" s="44"/>
      <c r="CB124" s="44"/>
      <c r="CC124" s="44"/>
      <c r="CD124" s="44"/>
      <c r="CE124" s="44"/>
      <c r="CF124" s="44"/>
      <c r="CG124" s="44"/>
      <c r="CH124" s="44"/>
      <c r="CI124" s="44"/>
      <c r="CJ124" s="44"/>
      <c r="CK124" s="44"/>
      <c r="CL124" s="44"/>
      <c r="CM124" s="44"/>
      <c r="CN124" s="44"/>
      <c r="CO124" s="44"/>
    </row>
    <row r="125" spans="10:93" ht="15" customHeight="1">
      <c r="J125" s="98"/>
      <c r="K125" s="98"/>
      <c r="L125" s="98"/>
      <c r="M125" s="98"/>
      <c r="N125" s="98"/>
      <c r="O125" s="98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  <c r="AA125" s="44"/>
      <c r="AB125" s="44"/>
      <c r="AC125" s="44"/>
      <c r="AD125" s="44"/>
      <c r="AE125" s="44"/>
      <c r="AF125" s="44"/>
      <c r="AG125" s="44"/>
      <c r="AH125" s="44"/>
      <c r="AI125" s="44"/>
      <c r="AJ125" s="44"/>
      <c r="AK125" s="44"/>
      <c r="AL125" s="44"/>
      <c r="AM125" s="44"/>
      <c r="AN125" s="44"/>
      <c r="AO125" s="44"/>
      <c r="AP125" s="44"/>
      <c r="AQ125" s="44"/>
      <c r="AR125" s="44"/>
      <c r="AS125" s="44"/>
      <c r="AT125" s="44"/>
      <c r="AU125" s="44"/>
      <c r="AV125" s="44"/>
      <c r="AW125" s="44"/>
      <c r="AX125" s="44"/>
      <c r="AY125" s="44"/>
      <c r="AZ125" s="44"/>
      <c r="BA125" s="44"/>
      <c r="BB125" s="44"/>
      <c r="BC125" s="44"/>
      <c r="BD125" s="44"/>
      <c r="BE125" s="44"/>
      <c r="BF125" s="44"/>
      <c r="BG125" s="44"/>
      <c r="BH125" s="44"/>
      <c r="BI125" s="44"/>
      <c r="BJ125" s="44"/>
      <c r="BK125" s="44"/>
      <c r="BL125" s="44"/>
      <c r="BM125" s="44"/>
      <c r="BN125" s="44"/>
      <c r="BO125" s="44"/>
      <c r="BP125" s="44"/>
      <c r="BQ125" s="44"/>
      <c r="BR125" s="44"/>
      <c r="BS125" s="44"/>
      <c r="BT125" s="44"/>
      <c r="BU125" s="44"/>
      <c r="BV125" s="44"/>
      <c r="BW125" s="44"/>
      <c r="BX125" s="44"/>
      <c r="BY125" s="44"/>
      <c r="BZ125" s="44"/>
      <c r="CA125" s="44"/>
      <c r="CB125" s="44"/>
      <c r="CC125" s="44"/>
      <c r="CD125" s="44"/>
      <c r="CE125" s="44"/>
      <c r="CF125" s="44"/>
      <c r="CG125" s="44"/>
      <c r="CH125" s="44"/>
      <c r="CI125" s="44"/>
      <c r="CJ125" s="44"/>
      <c r="CK125" s="44"/>
      <c r="CL125" s="44"/>
      <c r="CM125" s="44"/>
      <c r="CN125" s="44"/>
      <c r="CO125" s="44"/>
    </row>
    <row r="126" spans="10:93" ht="15" customHeight="1">
      <c r="J126" s="98"/>
      <c r="K126" s="98"/>
      <c r="L126" s="98"/>
      <c r="M126" s="98"/>
      <c r="N126" s="98"/>
      <c r="O126" s="98"/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Z126" s="44"/>
      <c r="AA126" s="44"/>
      <c r="AB126" s="44"/>
      <c r="AC126" s="44"/>
      <c r="AD126" s="44"/>
      <c r="AE126" s="44"/>
      <c r="AF126" s="44"/>
      <c r="AG126" s="44"/>
      <c r="AH126" s="44"/>
      <c r="AI126" s="44"/>
      <c r="AJ126" s="44"/>
      <c r="AK126" s="44"/>
      <c r="AL126" s="44"/>
      <c r="AM126" s="44"/>
      <c r="AN126" s="44"/>
      <c r="AO126" s="44"/>
      <c r="AP126" s="44"/>
      <c r="AQ126" s="44"/>
      <c r="AR126" s="44"/>
      <c r="AS126" s="44"/>
      <c r="AT126" s="44"/>
      <c r="AU126" s="44"/>
      <c r="AV126" s="44"/>
      <c r="AW126" s="44"/>
      <c r="AX126" s="44"/>
      <c r="AY126" s="44"/>
      <c r="AZ126" s="44"/>
      <c r="BA126" s="44"/>
      <c r="BB126" s="44"/>
      <c r="BC126" s="44"/>
      <c r="BD126" s="44"/>
      <c r="BE126" s="44"/>
      <c r="BF126" s="44"/>
      <c r="BG126" s="44"/>
      <c r="BH126" s="44"/>
      <c r="BI126" s="44"/>
      <c r="BJ126" s="44"/>
      <c r="BK126" s="44"/>
      <c r="BL126" s="44"/>
      <c r="BM126" s="44"/>
      <c r="BN126" s="44"/>
      <c r="BO126" s="44"/>
      <c r="BP126" s="44"/>
      <c r="BQ126" s="44"/>
      <c r="BR126" s="44"/>
      <c r="BS126" s="44"/>
      <c r="BT126" s="44"/>
      <c r="BU126" s="44"/>
      <c r="BV126" s="44"/>
      <c r="BW126" s="44"/>
      <c r="BX126" s="44"/>
      <c r="BY126" s="44"/>
      <c r="BZ126" s="44"/>
      <c r="CA126" s="44"/>
      <c r="CB126" s="44"/>
      <c r="CC126" s="44"/>
      <c r="CD126" s="44"/>
      <c r="CE126" s="44"/>
      <c r="CF126" s="44"/>
      <c r="CG126" s="44"/>
      <c r="CH126" s="44"/>
      <c r="CI126" s="44"/>
      <c r="CJ126" s="44"/>
      <c r="CK126" s="44"/>
      <c r="CL126" s="44"/>
      <c r="CM126" s="44"/>
      <c r="CN126" s="44"/>
      <c r="CO126" s="44"/>
    </row>
    <row r="127" spans="10:93" ht="15" customHeight="1">
      <c r="J127" s="98"/>
      <c r="K127" s="98"/>
      <c r="L127" s="98"/>
      <c r="M127" s="98"/>
      <c r="N127" s="98"/>
      <c r="O127" s="98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44"/>
      <c r="AA127" s="44"/>
      <c r="AB127" s="44"/>
      <c r="AC127" s="44"/>
      <c r="AD127" s="44"/>
      <c r="AE127" s="44"/>
      <c r="AF127" s="44"/>
      <c r="AG127" s="44"/>
      <c r="AH127" s="44"/>
      <c r="AI127" s="44"/>
      <c r="AJ127" s="44"/>
      <c r="AK127" s="44"/>
      <c r="AL127" s="44"/>
      <c r="AM127" s="44"/>
      <c r="AN127" s="44"/>
      <c r="AO127" s="44"/>
      <c r="AP127" s="44"/>
      <c r="AQ127" s="44"/>
      <c r="AR127" s="44"/>
      <c r="AS127" s="44"/>
      <c r="AT127" s="44"/>
      <c r="AU127" s="44"/>
      <c r="AV127" s="44"/>
      <c r="AW127" s="44"/>
      <c r="AX127" s="44"/>
      <c r="AY127" s="44"/>
      <c r="AZ127" s="44"/>
      <c r="BA127" s="44"/>
      <c r="BB127" s="44"/>
      <c r="BC127" s="44"/>
      <c r="BD127" s="44"/>
      <c r="BE127" s="44"/>
      <c r="BF127" s="44"/>
      <c r="BG127" s="44"/>
      <c r="BH127" s="44"/>
      <c r="BI127" s="44"/>
      <c r="BJ127" s="44"/>
      <c r="BK127" s="44"/>
      <c r="BL127" s="44"/>
      <c r="BM127" s="44"/>
      <c r="BN127" s="44"/>
      <c r="BO127" s="44"/>
      <c r="BP127" s="44"/>
      <c r="BQ127" s="44"/>
      <c r="BR127" s="44"/>
      <c r="BS127" s="44"/>
      <c r="BT127" s="44"/>
      <c r="BU127" s="44"/>
      <c r="BV127" s="44"/>
      <c r="BW127" s="44"/>
      <c r="BX127" s="44"/>
      <c r="BY127" s="44"/>
      <c r="BZ127" s="44"/>
      <c r="CA127" s="44"/>
      <c r="CB127" s="44"/>
      <c r="CC127" s="44"/>
      <c r="CD127" s="44"/>
      <c r="CE127" s="44"/>
      <c r="CF127" s="44"/>
      <c r="CG127" s="44"/>
      <c r="CH127" s="44"/>
      <c r="CI127" s="44"/>
      <c r="CJ127" s="44"/>
      <c r="CK127" s="44"/>
      <c r="CL127" s="44"/>
      <c r="CM127" s="44"/>
      <c r="CN127" s="44"/>
      <c r="CO127" s="44"/>
    </row>
    <row r="128" spans="10:93" ht="15" customHeight="1">
      <c r="J128" s="98"/>
      <c r="K128" s="98"/>
      <c r="L128" s="98"/>
      <c r="M128" s="98"/>
      <c r="N128" s="98"/>
      <c r="O128" s="98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  <c r="AA128" s="44"/>
      <c r="AB128" s="44"/>
      <c r="AC128" s="44"/>
      <c r="AD128" s="44"/>
      <c r="AE128" s="44"/>
      <c r="AF128" s="44"/>
      <c r="AG128" s="44"/>
      <c r="AH128" s="44"/>
      <c r="AI128" s="44"/>
      <c r="AJ128" s="44"/>
      <c r="AK128" s="44"/>
      <c r="AL128" s="44"/>
      <c r="AM128" s="44"/>
      <c r="AN128" s="44"/>
      <c r="AO128" s="44"/>
      <c r="AP128" s="44"/>
      <c r="AQ128" s="44"/>
      <c r="AR128" s="44"/>
      <c r="AS128" s="44"/>
      <c r="AT128" s="44"/>
      <c r="AU128" s="44"/>
      <c r="AV128" s="44"/>
      <c r="AW128" s="44"/>
      <c r="AX128" s="44"/>
      <c r="AY128" s="44"/>
      <c r="AZ128" s="44"/>
      <c r="BA128" s="44"/>
      <c r="BB128" s="44"/>
      <c r="BC128" s="44"/>
      <c r="BD128" s="44"/>
      <c r="BE128" s="44"/>
      <c r="BF128" s="44"/>
      <c r="BG128" s="44"/>
      <c r="BH128" s="44"/>
      <c r="BI128" s="44"/>
      <c r="BJ128" s="44"/>
      <c r="BK128" s="44"/>
      <c r="BL128" s="44"/>
      <c r="BM128" s="44"/>
      <c r="BN128" s="44"/>
      <c r="BO128" s="44"/>
      <c r="BP128" s="44"/>
      <c r="BQ128" s="44"/>
      <c r="BR128" s="44"/>
      <c r="BS128" s="44"/>
      <c r="BT128" s="44"/>
      <c r="BU128" s="44"/>
      <c r="BV128" s="44"/>
      <c r="BW128" s="44"/>
      <c r="BX128" s="44"/>
      <c r="BY128" s="44"/>
      <c r="BZ128" s="44"/>
      <c r="CA128" s="44"/>
      <c r="CB128" s="44"/>
      <c r="CC128" s="44"/>
      <c r="CD128" s="44"/>
      <c r="CE128" s="44"/>
      <c r="CF128" s="44"/>
      <c r="CG128" s="44"/>
      <c r="CH128" s="44"/>
      <c r="CI128" s="44"/>
      <c r="CJ128" s="44"/>
      <c r="CK128" s="44"/>
      <c r="CL128" s="44"/>
      <c r="CM128" s="44"/>
      <c r="CN128" s="44"/>
      <c r="CO128" s="44"/>
    </row>
    <row r="129" spans="10:93" ht="15" customHeight="1">
      <c r="J129" s="98"/>
      <c r="K129" s="98"/>
      <c r="L129" s="98"/>
      <c r="M129" s="98"/>
      <c r="N129" s="98"/>
      <c r="O129" s="98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  <c r="AA129" s="44"/>
      <c r="AB129" s="44"/>
      <c r="AC129" s="44"/>
      <c r="AD129" s="44"/>
      <c r="AE129" s="44"/>
      <c r="AF129" s="44"/>
      <c r="AG129" s="44"/>
      <c r="AH129" s="44"/>
      <c r="AI129" s="44"/>
      <c r="AJ129" s="44"/>
      <c r="AK129" s="44"/>
      <c r="AL129" s="44"/>
      <c r="AM129" s="44"/>
      <c r="AN129" s="44"/>
      <c r="AO129" s="44"/>
      <c r="AP129" s="44"/>
      <c r="AQ129" s="44"/>
      <c r="AR129" s="44"/>
      <c r="AS129" s="44"/>
      <c r="AT129" s="44"/>
      <c r="AU129" s="44"/>
      <c r="AV129" s="44"/>
      <c r="AW129" s="44"/>
      <c r="AX129" s="44"/>
      <c r="AY129" s="44"/>
      <c r="AZ129" s="44"/>
      <c r="BA129" s="44"/>
      <c r="BB129" s="44"/>
      <c r="BC129" s="44"/>
      <c r="BD129" s="44"/>
      <c r="BE129" s="44"/>
      <c r="BF129" s="44"/>
      <c r="BG129" s="44"/>
      <c r="BH129" s="44"/>
      <c r="BI129" s="44"/>
      <c r="BJ129" s="44"/>
      <c r="BK129" s="44"/>
      <c r="BL129" s="44"/>
      <c r="BM129" s="44"/>
      <c r="BN129" s="44"/>
      <c r="BO129" s="44"/>
      <c r="BP129" s="44"/>
      <c r="BQ129" s="44"/>
      <c r="BR129" s="44"/>
      <c r="BS129" s="44"/>
      <c r="BT129" s="44"/>
      <c r="BU129" s="44"/>
      <c r="BV129" s="44"/>
      <c r="BW129" s="44"/>
      <c r="BX129" s="44"/>
      <c r="BY129" s="44"/>
      <c r="BZ129" s="44"/>
      <c r="CA129" s="44"/>
      <c r="CB129" s="44"/>
      <c r="CC129" s="44"/>
      <c r="CD129" s="44"/>
      <c r="CE129" s="44"/>
      <c r="CF129" s="44"/>
      <c r="CG129" s="44"/>
      <c r="CH129" s="44"/>
      <c r="CI129" s="44"/>
      <c r="CJ129" s="44"/>
      <c r="CK129" s="44"/>
      <c r="CL129" s="44"/>
      <c r="CM129" s="44"/>
      <c r="CN129" s="44"/>
      <c r="CO129" s="44"/>
    </row>
    <row r="130" spans="10:93" ht="15" customHeight="1">
      <c r="J130" s="101"/>
      <c r="K130" s="101"/>
      <c r="L130" s="101"/>
      <c r="M130" s="97"/>
      <c r="N130" s="101"/>
      <c r="O130" s="97"/>
      <c r="P130" s="34"/>
      <c r="Q130" s="34"/>
      <c r="R130" s="34"/>
      <c r="S130" s="34"/>
      <c r="T130" s="34"/>
      <c r="U130" s="34"/>
      <c r="V130" s="34"/>
      <c r="W130" s="34"/>
      <c r="X130" s="34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  <c r="AJ130" s="33"/>
      <c r="AK130" s="33"/>
      <c r="AL130" s="33"/>
      <c r="AM130" s="33"/>
      <c r="AN130" s="33"/>
      <c r="AO130" s="33"/>
      <c r="AP130" s="33"/>
      <c r="AQ130" s="33"/>
      <c r="AR130" s="33"/>
      <c r="AS130" s="33"/>
      <c r="AT130" s="33"/>
      <c r="AU130" s="33"/>
      <c r="AV130" s="33"/>
      <c r="AW130" s="33"/>
      <c r="AX130" s="33"/>
      <c r="AY130" s="33"/>
      <c r="AZ130" s="33"/>
      <c r="BA130" s="33"/>
      <c r="BB130" s="33"/>
      <c r="BC130" s="33"/>
      <c r="BD130" s="33"/>
      <c r="BE130" s="33"/>
      <c r="BF130" s="33"/>
      <c r="BG130" s="33"/>
      <c r="BH130" s="33"/>
      <c r="BI130" s="33"/>
      <c r="BJ130" s="33"/>
      <c r="BK130" s="33"/>
      <c r="BL130" s="33"/>
      <c r="BM130" s="33"/>
      <c r="BN130" s="34"/>
      <c r="BO130" s="33"/>
      <c r="BP130" s="33"/>
      <c r="BQ130" s="33"/>
      <c r="BR130" s="33"/>
      <c r="BS130" s="33"/>
      <c r="BT130" s="33"/>
      <c r="BU130" s="48"/>
      <c r="BV130" s="48"/>
      <c r="BW130" s="35"/>
      <c r="BX130" s="35"/>
      <c r="BY130" s="35"/>
      <c r="BZ130" s="35"/>
      <c r="CA130" s="35"/>
      <c r="CB130" s="35"/>
      <c r="CC130" s="35"/>
      <c r="CD130" s="35"/>
      <c r="CE130" s="35"/>
      <c r="CF130" s="35"/>
      <c r="CG130" s="35"/>
      <c r="CH130" s="35"/>
      <c r="CI130" s="35"/>
      <c r="CJ130" s="35"/>
      <c r="CK130" s="35"/>
      <c r="CL130" s="35"/>
      <c r="CM130" s="35"/>
      <c r="CN130" s="35"/>
      <c r="CO130" s="25"/>
    </row>
    <row r="131" spans="10:92" ht="15.75" customHeight="1">
      <c r="J131" s="106"/>
      <c r="K131" s="106"/>
      <c r="L131" s="106"/>
      <c r="M131" s="105"/>
      <c r="N131" s="106"/>
      <c r="O131" s="105"/>
      <c r="P131" s="9"/>
      <c r="Q131" s="9"/>
      <c r="R131" s="9"/>
      <c r="S131" s="9"/>
      <c r="T131" s="9"/>
      <c r="U131" s="9"/>
      <c r="V131" s="9"/>
      <c r="W131" s="9"/>
      <c r="X131" s="9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1"/>
      <c r="BO131" s="10"/>
      <c r="BP131" s="10"/>
      <c r="BQ131" s="10"/>
      <c r="BR131" s="10"/>
      <c r="BS131" s="10"/>
      <c r="BT131" s="10"/>
      <c r="BU131" s="12"/>
      <c r="BV131" s="12"/>
      <c r="BW131" s="13"/>
      <c r="BX131" s="13"/>
      <c r="BY131" s="13"/>
      <c r="BZ131" s="13"/>
      <c r="CA131" s="13"/>
      <c r="CB131" s="13"/>
      <c r="CC131" s="13"/>
      <c r="CD131" s="13"/>
      <c r="CE131" s="13"/>
      <c r="CF131" s="13"/>
      <c r="CG131" s="13"/>
      <c r="CH131" s="13"/>
      <c r="CI131" s="13"/>
      <c r="CJ131" s="13"/>
      <c r="CK131" s="13"/>
      <c r="CL131" s="13"/>
      <c r="CM131" s="13"/>
      <c r="CN131" s="13"/>
    </row>
    <row r="132" spans="10:92" ht="15.75" customHeight="1">
      <c r="J132" s="106"/>
      <c r="K132" s="106"/>
      <c r="L132" s="106"/>
      <c r="M132" s="105"/>
      <c r="N132" s="106"/>
      <c r="O132" s="105"/>
      <c r="P132" s="9"/>
      <c r="Q132" s="9"/>
      <c r="R132" s="9"/>
      <c r="S132" s="9"/>
      <c r="T132" s="9"/>
      <c r="U132" s="9"/>
      <c r="V132" s="9"/>
      <c r="W132" s="9"/>
      <c r="X132" s="9"/>
      <c r="Y132" s="14"/>
      <c r="Z132" s="14"/>
      <c r="AA132" s="14"/>
      <c r="AB132" s="14"/>
      <c r="AC132" s="14"/>
      <c r="AD132" s="14"/>
      <c r="AE132" s="14"/>
      <c r="AF132" s="14"/>
      <c r="AG132" s="15"/>
      <c r="AH132" s="14"/>
      <c r="AI132" s="14"/>
      <c r="AJ132" s="14"/>
      <c r="AK132" s="15"/>
      <c r="AL132" s="15"/>
      <c r="AM132" s="15"/>
      <c r="AN132" s="14"/>
      <c r="AO132" s="15"/>
      <c r="AP132" s="15"/>
      <c r="AQ132" s="15"/>
      <c r="AR132" s="15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1"/>
      <c r="BO132" s="10"/>
      <c r="BP132" s="10"/>
      <c r="BQ132" s="10"/>
      <c r="BR132" s="10"/>
      <c r="BS132" s="14"/>
      <c r="BT132" s="14"/>
      <c r="BU132" s="16"/>
      <c r="BV132" s="12"/>
      <c r="BW132" s="13"/>
      <c r="BX132" s="13"/>
      <c r="BY132" s="13"/>
      <c r="BZ132" s="13"/>
      <c r="CA132" s="13"/>
      <c r="CB132" s="13"/>
      <c r="CC132" s="13"/>
      <c r="CD132" s="13"/>
      <c r="CE132" s="13"/>
      <c r="CF132" s="13"/>
      <c r="CG132" s="13"/>
      <c r="CH132" s="13"/>
      <c r="CI132" s="13"/>
      <c r="CJ132" s="13"/>
      <c r="CK132" s="13"/>
      <c r="CL132" s="13"/>
      <c r="CM132" s="13"/>
      <c r="CN132" s="13"/>
    </row>
    <row r="133" spans="10:92" ht="12.75">
      <c r="J133" s="106"/>
      <c r="K133" s="106"/>
      <c r="L133" s="106"/>
      <c r="M133" s="105"/>
      <c r="N133" s="106"/>
      <c r="O133" s="105"/>
      <c r="P133" s="9"/>
      <c r="Q133" s="9"/>
      <c r="R133" s="9"/>
      <c r="S133" s="9"/>
      <c r="T133" s="9"/>
      <c r="U133" s="9"/>
      <c r="V133" s="9"/>
      <c r="W133" s="9"/>
      <c r="X133" s="9"/>
      <c r="Y133" s="17"/>
      <c r="Z133" s="17"/>
      <c r="AA133" s="17"/>
      <c r="AB133" s="17"/>
      <c r="AC133" s="17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1"/>
      <c r="BO133" s="10"/>
      <c r="BP133" s="10"/>
      <c r="BQ133" s="10"/>
      <c r="BR133" s="10"/>
      <c r="BS133" s="10"/>
      <c r="BT133" s="10"/>
      <c r="BU133" s="12"/>
      <c r="BV133" s="12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</row>
    <row r="134" spans="10:92" ht="12.75">
      <c r="J134" s="106"/>
      <c r="K134" s="106"/>
      <c r="L134" s="106"/>
      <c r="M134" s="105"/>
      <c r="N134" s="106"/>
      <c r="O134" s="105"/>
      <c r="P134" s="9"/>
      <c r="Q134" s="9"/>
      <c r="R134" s="9"/>
      <c r="S134" s="9"/>
      <c r="T134" s="9"/>
      <c r="U134" s="9"/>
      <c r="V134" s="9"/>
      <c r="W134" s="9"/>
      <c r="X134" s="9"/>
      <c r="Y134" s="17"/>
      <c r="Z134" s="17"/>
      <c r="AA134" s="17"/>
      <c r="AB134" s="17"/>
      <c r="AC134" s="17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8"/>
      <c r="BO134" s="10"/>
      <c r="BP134" s="10"/>
      <c r="BQ134" s="10"/>
      <c r="BR134" s="10"/>
      <c r="BS134" s="10"/>
      <c r="BT134" s="10"/>
      <c r="BU134" s="12"/>
      <c r="BV134" s="12"/>
      <c r="BW134" s="13"/>
      <c r="BX134" s="13"/>
      <c r="BY134" s="13"/>
      <c r="BZ134" s="13"/>
      <c r="CA134" s="13"/>
      <c r="CB134" s="13"/>
      <c r="CC134" s="13"/>
      <c r="CD134" s="13"/>
      <c r="CE134" s="13"/>
      <c r="CF134" s="13"/>
      <c r="CG134" s="13"/>
      <c r="CH134" s="13"/>
      <c r="CI134" s="13"/>
      <c r="CJ134" s="13"/>
      <c r="CK134" s="13"/>
      <c r="CL134" s="13"/>
      <c r="CM134" s="13"/>
      <c r="CN134" s="13"/>
    </row>
    <row r="135" spans="10:92" ht="12.75">
      <c r="J135" s="108"/>
      <c r="K135" s="108"/>
      <c r="L135" s="108"/>
      <c r="M135" s="107"/>
      <c r="N135" s="108"/>
      <c r="O135" s="107"/>
      <c r="P135" s="19"/>
      <c r="Q135" s="19"/>
      <c r="R135" s="19"/>
      <c r="S135" s="19"/>
      <c r="T135" s="19"/>
      <c r="U135" s="19"/>
      <c r="V135" s="19"/>
      <c r="W135" s="19"/>
      <c r="X135" s="19"/>
      <c r="Y135" s="21"/>
      <c r="Z135" s="21"/>
      <c r="AA135" s="21"/>
      <c r="AB135" s="21"/>
      <c r="AC135" s="21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8"/>
      <c r="BO135" s="13"/>
      <c r="BP135" s="13"/>
      <c r="BQ135" s="13"/>
      <c r="BR135" s="13"/>
      <c r="BS135" s="13"/>
      <c r="BT135" s="13"/>
      <c r="BU135" s="12"/>
      <c r="BV135" s="12"/>
      <c r="BW135" s="13"/>
      <c r="BX135" s="13"/>
      <c r="BY135" s="13"/>
      <c r="BZ135" s="13"/>
      <c r="CA135" s="13"/>
      <c r="CB135" s="13"/>
      <c r="CC135" s="13"/>
      <c r="CD135" s="13"/>
      <c r="CE135" s="13"/>
      <c r="CF135" s="13"/>
      <c r="CG135" s="13"/>
      <c r="CH135" s="13"/>
      <c r="CI135" s="13"/>
      <c r="CJ135" s="13"/>
      <c r="CK135" s="13"/>
      <c r="CL135" s="13"/>
      <c r="CM135" s="13"/>
      <c r="CN135" s="13"/>
    </row>
    <row r="136" spans="10:92" ht="12.75">
      <c r="J136" s="108"/>
      <c r="K136" s="108"/>
      <c r="L136" s="108"/>
      <c r="M136" s="107"/>
      <c r="N136" s="108"/>
      <c r="O136" s="107"/>
      <c r="P136" s="19"/>
      <c r="Q136" s="19"/>
      <c r="R136" s="19"/>
      <c r="S136" s="19"/>
      <c r="T136" s="19"/>
      <c r="U136" s="19"/>
      <c r="V136" s="19"/>
      <c r="W136" s="19"/>
      <c r="X136" s="19"/>
      <c r="Y136" s="21"/>
      <c r="Z136" s="21"/>
      <c r="AA136" s="21"/>
      <c r="AB136" s="21"/>
      <c r="AC136" s="21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8"/>
      <c r="BO136" s="13"/>
      <c r="BP136" s="13"/>
      <c r="BQ136" s="13"/>
      <c r="BR136" s="13"/>
      <c r="BS136" s="13"/>
      <c r="BT136" s="13"/>
      <c r="BU136" s="12"/>
      <c r="BV136" s="12"/>
      <c r="BW136" s="13"/>
      <c r="BX136" s="13"/>
      <c r="BY136" s="13"/>
      <c r="BZ136" s="13"/>
      <c r="CA136" s="13"/>
      <c r="CB136" s="13"/>
      <c r="CC136" s="13"/>
      <c r="CD136" s="13"/>
      <c r="CE136" s="13"/>
      <c r="CF136" s="13"/>
      <c r="CG136" s="13"/>
      <c r="CH136" s="13"/>
      <c r="CI136" s="13"/>
      <c r="CJ136" s="13"/>
      <c r="CK136" s="13"/>
      <c r="CL136" s="13"/>
      <c r="CM136" s="13"/>
      <c r="CN136" s="13"/>
    </row>
    <row r="137" spans="10:92" ht="12.75">
      <c r="J137" s="107"/>
      <c r="K137" s="107"/>
      <c r="L137" s="107"/>
      <c r="M137" s="107"/>
      <c r="N137" s="107"/>
      <c r="O137" s="107"/>
      <c r="P137" s="7"/>
      <c r="Q137" s="19"/>
      <c r="R137" s="19"/>
      <c r="S137" s="20"/>
      <c r="T137" s="20"/>
      <c r="U137" s="19"/>
      <c r="V137" s="19"/>
      <c r="W137" s="19"/>
      <c r="X137" s="19"/>
      <c r="Y137" s="21"/>
      <c r="Z137" s="21"/>
      <c r="AA137" s="21"/>
      <c r="AB137" s="21"/>
      <c r="AC137" s="21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8"/>
      <c r="BO137" s="13"/>
      <c r="BP137" s="13"/>
      <c r="BQ137" s="13"/>
      <c r="BR137" s="13"/>
      <c r="BS137" s="13"/>
      <c r="BT137" s="13"/>
      <c r="BU137" s="12"/>
      <c r="BV137" s="12"/>
      <c r="BW137" s="13"/>
      <c r="BX137" s="13"/>
      <c r="BY137" s="13"/>
      <c r="BZ137" s="13"/>
      <c r="CA137" s="13"/>
      <c r="CB137" s="13"/>
      <c r="CC137" s="13"/>
      <c r="CD137" s="13"/>
      <c r="CE137" s="13"/>
      <c r="CF137" s="13"/>
      <c r="CG137" s="13"/>
      <c r="CH137" s="13"/>
      <c r="CI137" s="13"/>
      <c r="CJ137" s="13"/>
      <c r="CK137" s="13"/>
      <c r="CL137" s="13"/>
      <c r="CM137" s="13"/>
      <c r="CN137" s="13"/>
    </row>
    <row r="138" spans="10:92" ht="12.75">
      <c r="J138" s="107"/>
      <c r="K138" s="107"/>
      <c r="L138" s="107"/>
      <c r="M138" s="107"/>
      <c r="N138" s="107"/>
      <c r="O138" s="107"/>
      <c r="P138" s="7"/>
      <c r="Q138" s="19"/>
      <c r="R138" s="19"/>
      <c r="S138" s="20"/>
      <c r="T138" s="20"/>
      <c r="U138" s="19"/>
      <c r="V138" s="19"/>
      <c r="W138" s="19"/>
      <c r="X138" s="19"/>
      <c r="Y138" s="21"/>
      <c r="Z138" s="21"/>
      <c r="AA138" s="21"/>
      <c r="AB138" s="21"/>
      <c r="AC138" s="21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8"/>
      <c r="BO138" s="13"/>
      <c r="BP138" s="13"/>
      <c r="BQ138" s="13"/>
      <c r="BR138" s="13"/>
      <c r="BS138" s="13"/>
      <c r="BT138" s="13"/>
      <c r="BU138" s="12"/>
      <c r="BV138" s="12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</row>
    <row r="139" spans="10:92" ht="12.75">
      <c r="J139" s="107"/>
      <c r="K139" s="107"/>
      <c r="L139" s="107"/>
      <c r="M139" s="107"/>
      <c r="N139" s="107"/>
      <c r="O139" s="107"/>
      <c r="P139" s="7"/>
      <c r="Q139" s="19"/>
      <c r="R139" s="19"/>
      <c r="S139" s="20"/>
      <c r="T139" s="20"/>
      <c r="U139" s="19"/>
      <c r="V139" s="19"/>
      <c r="W139" s="19"/>
      <c r="X139" s="19"/>
      <c r="Y139" s="21"/>
      <c r="Z139" s="21"/>
      <c r="AA139" s="21"/>
      <c r="AB139" s="21"/>
      <c r="AC139" s="21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8"/>
      <c r="BO139" s="13"/>
      <c r="BP139" s="13"/>
      <c r="BQ139" s="13"/>
      <c r="BR139" s="13"/>
      <c r="BS139" s="13"/>
      <c r="BT139" s="13"/>
      <c r="BU139" s="12"/>
      <c r="BV139" s="12"/>
      <c r="BW139" s="13"/>
      <c r="BX139" s="13"/>
      <c r="BY139" s="13"/>
      <c r="BZ139" s="13"/>
      <c r="CA139" s="13"/>
      <c r="CB139" s="13"/>
      <c r="CC139" s="13"/>
      <c r="CD139" s="13"/>
      <c r="CE139" s="13"/>
      <c r="CF139" s="13"/>
      <c r="CG139" s="13"/>
      <c r="CH139" s="13"/>
      <c r="CI139" s="13"/>
      <c r="CJ139" s="13"/>
      <c r="CK139" s="13"/>
      <c r="CL139" s="13"/>
      <c r="CM139" s="13"/>
      <c r="CN139" s="13"/>
    </row>
    <row r="140" spans="10:92" ht="12.75">
      <c r="J140" s="107"/>
      <c r="K140" s="107"/>
      <c r="L140" s="107"/>
      <c r="M140" s="107"/>
      <c r="N140" s="107"/>
      <c r="O140" s="107"/>
      <c r="P140" s="7"/>
      <c r="Q140" s="19"/>
      <c r="R140" s="19"/>
      <c r="S140" s="20"/>
      <c r="T140" s="20"/>
      <c r="U140" s="19"/>
      <c r="V140" s="19"/>
      <c r="W140" s="19"/>
      <c r="X140" s="19"/>
      <c r="Y140" s="21"/>
      <c r="Z140" s="21"/>
      <c r="AA140" s="21"/>
      <c r="AB140" s="21"/>
      <c r="AC140" s="21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8"/>
      <c r="BO140" s="13"/>
      <c r="BP140" s="13"/>
      <c r="BQ140" s="13"/>
      <c r="BR140" s="13"/>
      <c r="BS140" s="13"/>
      <c r="BT140" s="13"/>
      <c r="BU140" s="12"/>
      <c r="BV140" s="12"/>
      <c r="BW140" s="13"/>
      <c r="BX140" s="13"/>
      <c r="BY140" s="13"/>
      <c r="BZ140" s="13"/>
      <c r="CA140" s="13"/>
      <c r="CB140" s="13"/>
      <c r="CC140" s="13"/>
      <c r="CD140" s="13"/>
      <c r="CE140" s="13"/>
      <c r="CF140" s="13"/>
      <c r="CG140" s="13"/>
      <c r="CH140" s="13"/>
      <c r="CI140" s="13"/>
      <c r="CJ140" s="13"/>
      <c r="CK140" s="13"/>
      <c r="CL140" s="13"/>
      <c r="CM140" s="13"/>
      <c r="CN140" s="13"/>
    </row>
    <row r="141" spans="10:92" ht="12.75">
      <c r="J141" s="107"/>
      <c r="K141" s="107"/>
      <c r="L141" s="107"/>
      <c r="M141" s="107"/>
      <c r="N141" s="107"/>
      <c r="O141" s="107"/>
      <c r="P141" s="7"/>
      <c r="Q141" s="19"/>
      <c r="R141" s="19"/>
      <c r="S141" s="20"/>
      <c r="T141" s="20"/>
      <c r="U141" s="19"/>
      <c r="V141" s="19"/>
      <c r="W141" s="19"/>
      <c r="X141" s="19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8"/>
      <c r="BO141" s="13"/>
      <c r="BP141" s="13"/>
      <c r="BQ141" s="13"/>
      <c r="BR141" s="13"/>
      <c r="BS141" s="13"/>
      <c r="BT141" s="13"/>
      <c r="BU141" s="12"/>
      <c r="BV141" s="12"/>
      <c r="BW141" s="13"/>
      <c r="BX141" s="13"/>
      <c r="BY141" s="13"/>
      <c r="BZ141" s="13"/>
      <c r="CA141" s="13"/>
      <c r="CB141" s="13"/>
      <c r="CC141" s="13"/>
      <c r="CD141" s="13"/>
      <c r="CE141" s="13"/>
      <c r="CF141" s="13"/>
      <c r="CG141" s="13"/>
      <c r="CH141" s="13"/>
      <c r="CI141" s="13"/>
      <c r="CJ141" s="13"/>
      <c r="CK141" s="13"/>
      <c r="CL141" s="13"/>
      <c r="CM141" s="13"/>
      <c r="CN141" s="13"/>
    </row>
    <row r="142" spans="1:92" ht="12.75">
      <c r="A142" s="7"/>
      <c r="B142" s="7"/>
      <c r="C142" s="7"/>
      <c r="D142" s="7"/>
      <c r="E142" s="7"/>
      <c r="F142" s="7"/>
      <c r="G142" s="7"/>
      <c r="H142" s="7"/>
      <c r="I142" s="7"/>
      <c r="J142" s="107"/>
      <c r="K142" s="107"/>
      <c r="L142" s="107"/>
      <c r="M142" s="107"/>
      <c r="N142" s="107"/>
      <c r="O142" s="107"/>
      <c r="P142" s="7"/>
      <c r="Q142" s="19"/>
      <c r="R142" s="19"/>
      <c r="S142" s="7"/>
      <c r="T142" s="7"/>
      <c r="U142" s="19"/>
      <c r="V142" s="19"/>
      <c r="W142" s="19"/>
      <c r="X142" s="19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3"/>
      <c r="BS142" s="13"/>
      <c r="BT142" s="13"/>
      <c r="BU142" s="12"/>
      <c r="BV142" s="12"/>
      <c r="BW142" s="13"/>
      <c r="BX142" s="13"/>
      <c r="BY142" s="13"/>
      <c r="BZ142" s="13"/>
      <c r="CA142" s="13"/>
      <c r="CB142" s="13"/>
      <c r="CC142" s="13"/>
      <c r="CD142" s="13"/>
      <c r="CE142" s="13"/>
      <c r="CF142" s="13"/>
      <c r="CG142" s="13"/>
      <c r="CH142" s="13"/>
      <c r="CI142" s="13"/>
      <c r="CJ142" s="13"/>
      <c r="CK142" s="13"/>
      <c r="CL142" s="13"/>
      <c r="CM142" s="13"/>
      <c r="CN142" s="13"/>
    </row>
    <row r="143" spans="1:92" ht="12.75">
      <c r="A143" s="7"/>
      <c r="B143" s="7"/>
      <c r="C143" s="7"/>
      <c r="D143" s="7"/>
      <c r="E143" s="7"/>
      <c r="F143" s="7"/>
      <c r="G143" s="7"/>
      <c r="H143" s="7"/>
      <c r="I143" s="7"/>
      <c r="J143" s="107"/>
      <c r="K143" s="107"/>
      <c r="L143" s="107"/>
      <c r="M143" s="107"/>
      <c r="N143" s="107"/>
      <c r="O143" s="107"/>
      <c r="P143" s="7"/>
      <c r="Q143" s="19"/>
      <c r="R143" s="19"/>
      <c r="S143" s="7"/>
      <c r="T143" s="7"/>
      <c r="U143" s="19"/>
      <c r="V143" s="19"/>
      <c r="W143" s="19"/>
      <c r="X143" s="19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  <c r="BO143" s="13"/>
      <c r="BP143" s="13"/>
      <c r="BQ143" s="13"/>
      <c r="BR143" s="13"/>
      <c r="BS143" s="13"/>
      <c r="BT143" s="13"/>
      <c r="BU143" s="12"/>
      <c r="BV143" s="12"/>
      <c r="BW143" s="13"/>
      <c r="BX143" s="13"/>
      <c r="BY143" s="13"/>
      <c r="BZ143" s="13"/>
      <c r="CA143" s="13"/>
      <c r="CB143" s="13"/>
      <c r="CC143" s="13"/>
      <c r="CD143" s="13"/>
      <c r="CE143" s="13"/>
      <c r="CF143" s="13"/>
      <c r="CG143" s="13"/>
      <c r="CH143" s="13"/>
      <c r="CI143" s="13"/>
      <c r="CJ143" s="13"/>
      <c r="CK143" s="13"/>
      <c r="CL143" s="13"/>
      <c r="CM143" s="13"/>
      <c r="CN143" s="13"/>
    </row>
    <row r="144" spans="1:92" ht="12.75">
      <c r="A144" s="7"/>
      <c r="B144" s="7"/>
      <c r="C144" s="7"/>
      <c r="D144" s="7"/>
      <c r="E144" s="7"/>
      <c r="F144" s="7"/>
      <c r="G144" s="7"/>
      <c r="H144" s="7"/>
      <c r="I144" s="7"/>
      <c r="J144" s="107"/>
      <c r="K144" s="107"/>
      <c r="L144" s="107"/>
      <c r="M144" s="107"/>
      <c r="N144" s="107"/>
      <c r="O144" s="107"/>
      <c r="P144" s="7"/>
      <c r="Q144" s="19"/>
      <c r="R144" s="19"/>
      <c r="S144" s="7"/>
      <c r="T144" s="7"/>
      <c r="U144" s="19"/>
      <c r="V144" s="19"/>
      <c r="W144" s="19"/>
      <c r="X144" s="19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  <c r="BR144" s="13"/>
      <c r="BS144" s="13"/>
      <c r="BT144" s="13"/>
      <c r="BU144" s="12"/>
      <c r="BV144" s="12"/>
      <c r="BW144" s="13"/>
      <c r="BX144" s="13"/>
      <c r="BY144" s="13"/>
      <c r="BZ144" s="13"/>
      <c r="CA144" s="13"/>
      <c r="CB144" s="13"/>
      <c r="CC144" s="13"/>
      <c r="CD144" s="13"/>
      <c r="CE144" s="13"/>
      <c r="CF144" s="13"/>
      <c r="CG144" s="13"/>
      <c r="CH144" s="13"/>
      <c r="CI144" s="13"/>
      <c r="CJ144" s="13"/>
      <c r="CK144" s="13"/>
      <c r="CL144" s="13"/>
      <c r="CM144" s="13"/>
      <c r="CN144" s="13"/>
    </row>
    <row r="145" spans="1:92" ht="12.75">
      <c r="A145" s="7"/>
      <c r="B145" s="7"/>
      <c r="C145" s="7"/>
      <c r="D145" s="7"/>
      <c r="E145" s="7"/>
      <c r="F145" s="7"/>
      <c r="G145" s="7"/>
      <c r="H145" s="7"/>
      <c r="I145" s="7"/>
      <c r="J145" s="107"/>
      <c r="K145" s="107"/>
      <c r="L145" s="107"/>
      <c r="M145" s="107"/>
      <c r="N145" s="107"/>
      <c r="O145" s="107"/>
      <c r="P145" s="7"/>
      <c r="Q145" s="19"/>
      <c r="R145" s="19"/>
      <c r="S145" s="7"/>
      <c r="T145" s="7"/>
      <c r="U145" s="19"/>
      <c r="V145" s="19"/>
      <c r="W145" s="19"/>
      <c r="X145" s="19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  <c r="BR145" s="13"/>
      <c r="BS145" s="13"/>
      <c r="BT145" s="13"/>
      <c r="BU145" s="12"/>
      <c r="BV145" s="12"/>
      <c r="BW145" s="13"/>
      <c r="BX145" s="13"/>
      <c r="BY145" s="13"/>
      <c r="BZ145" s="13"/>
      <c r="CA145" s="13"/>
      <c r="CB145" s="13"/>
      <c r="CC145" s="13"/>
      <c r="CD145" s="13"/>
      <c r="CE145" s="13"/>
      <c r="CF145" s="13"/>
      <c r="CG145" s="13"/>
      <c r="CH145" s="13"/>
      <c r="CI145" s="13"/>
      <c r="CJ145" s="13"/>
      <c r="CK145" s="13"/>
      <c r="CL145" s="13"/>
      <c r="CM145" s="13"/>
      <c r="CN145" s="13"/>
    </row>
    <row r="146" spans="1:92" ht="12.75">
      <c r="A146" s="7"/>
      <c r="B146" s="7"/>
      <c r="C146" s="7"/>
      <c r="D146" s="7"/>
      <c r="E146" s="7"/>
      <c r="F146" s="7"/>
      <c r="G146" s="7"/>
      <c r="H146" s="7"/>
      <c r="I146" s="7"/>
      <c r="J146" s="107"/>
      <c r="K146" s="107"/>
      <c r="L146" s="107"/>
      <c r="M146" s="107"/>
      <c r="N146" s="107"/>
      <c r="O146" s="107"/>
      <c r="P146" s="7"/>
      <c r="Q146" s="19"/>
      <c r="R146" s="19"/>
      <c r="S146" s="7"/>
      <c r="T146" s="7"/>
      <c r="U146" s="19"/>
      <c r="V146" s="19"/>
      <c r="W146" s="19"/>
      <c r="X146" s="19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  <c r="BS146" s="13"/>
      <c r="BT146" s="13"/>
      <c r="BU146" s="12"/>
      <c r="BV146" s="12"/>
      <c r="BW146" s="13"/>
      <c r="BX146" s="13"/>
      <c r="BY146" s="13"/>
      <c r="BZ146" s="13"/>
      <c r="CA146" s="13"/>
      <c r="CB146" s="13"/>
      <c r="CC146" s="13"/>
      <c r="CD146" s="13"/>
      <c r="CE146" s="13"/>
      <c r="CF146" s="13"/>
      <c r="CG146" s="13"/>
      <c r="CH146" s="13"/>
      <c r="CI146" s="13"/>
      <c r="CJ146" s="13"/>
      <c r="CK146" s="13"/>
      <c r="CL146" s="13"/>
      <c r="CM146" s="13"/>
      <c r="CN146" s="13"/>
    </row>
    <row r="147" spans="1:92" ht="12.75">
      <c r="A147" s="7"/>
      <c r="B147" s="7"/>
      <c r="C147" s="7"/>
      <c r="D147" s="7"/>
      <c r="E147" s="7"/>
      <c r="F147" s="7"/>
      <c r="G147" s="7"/>
      <c r="H147" s="7"/>
      <c r="I147" s="7"/>
      <c r="J147" s="107"/>
      <c r="K147" s="107"/>
      <c r="L147" s="107"/>
      <c r="M147" s="107"/>
      <c r="N147" s="107"/>
      <c r="O147" s="107"/>
      <c r="P147" s="7"/>
      <c r="Q147" s="19"/>
      <c r="R147" s="19"/>
      <c r="S147" s="7"/>
      <c r="T147" s="7"/>
      <c r="U147" s="19"/>
      <c r="V147" s="19"/>
      <c r="W147" s="19"/>
      <c r="X147" s="19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3"/>
      <c r="BS147" s="13"/>
      <c r="BT147" s="13"/>
      <c r="BU147" s="12"/>
      <c r="BV147" s="12"/>
      <c r="BW147" s="13"/>
      <c r="BX147" s="13"/>
      <c r="BY147" s="13"/>
      <c r="BZ147" s="13"/>
      <c r="CA147" s="13"/>
      <c r="CB147" s="13"/>
      <c r="CC147" s="13"/>
      <c r="CD147" s="13"/>
      <c r="CE147" s="13"/>
      <c r="CF147" s="13"/>
      <c r="CG147" s="13"/>
      <c r="CH147" s="13"/>
      <c r="CI147" s="13"/>
      <c r="CJ147" s="13"/>
      <c r="CK147" s="13"/>
      <c r="CL147" s="13"/>
      <c r="CM147" s="13"/>
      <c r="CN147" s="13"/>
    </row>
    <row r="148" spans="1:89" ht="12.75">
      <c r="A148" s="1"/>
      <c r="B148" s="1"/>
      <c r="C148" s="1"/>
      <c r="D148" s="1"/>
      <c r="E148" s="1"/>
      <c r="F148" s="1"/>
      <c r="G148" s="1"/>
      <c r="H148" s="1"/>
      <c r="I148" s="1"/>
      <c r="J148" s="109"/>
      <c r="K148" s="109"/>
      <c r="L148" s="109"/>
      <c r="M148" s="109"/>
      <c r="N148" s="109"/>
      <c r="O148" s="109"/>
      <c r="P148" s="1"/>
      <c r="Q148" s="6"/>
      <c r="R148" s="6"/>
      <c r="S148" s="1"/>
      <c r="T148" s="1"/>
      <c r="U148" s="6"/>
      <c r="V148" s="6"/>
      <c r="W148" s="6"/>
      <c r="X148" s="6"/>
      <c r="BU148" s="3"/>
      <c r="BV148" s="3"/>
      <c r="CK148" s="13"/>
    </row>
    <row r="149" spans="1:89" ht="12.75">
      <c r="A149" s="1"/>
      <c r="B149" s="1"/>
      <c r="C149" s="1"/>
      <c r="D149" s="1"/>
      <c r="E149" s="1"/>
      <c r="F149" s="1"/>
      <c r="G149" s="1"/>
      <c r="H149" s="1"/>
      <c r="I149" s="1"/>
      <c r="J149" s="109"/>
      <c r="K149" s="109"/>
      <c r="L149" s="109"/>
      <c r="M149" s="109"/>
      <c r="N149" s="109"/>
      <c r="O149" s="109"/>
      <c r="P149" s="1"/>
      <c r="Q149" s="6"/>
      <c r="R149" s="6"/>
      <c r="S149" s="1"/>
      <c r="T149" s="1"/>
      <c r="U149" s="6"/>
      <c r="V149" s="6"/>
      <c r="W149" s="6"/>
      <c r="X149" s="6"/>
      <c r="BU149" s="3"/>
      <c r="BV149" s="3"/>
      <c r="CK149" s="13"/>
    </row>
    <row r="150" spans="1:89" ht="12.75">
      <c r="A150" s="1"/>
      <c r="B150" s="1"/>
      <c r="C150" s="1"/>
      <c r="D150" s="1"/>
      <c r="E150" s="1"/>
      <c r="F150" s="1"/>
      <c r="G150" s="1"/>
      <c r="H150" s="1"/>
      <c r="I150" s="1"/>
      <c r="J150" s="109"/>
      <c r="K150" s="109"/>
      <c r="L150" s="109"/>
      <c r="M150" s="109"/>
      <c r="N150" s="109"/>
      <c r="O150" s="109"/>
      <c r="P150" s="1"/>
      <c r="Q150" s="6"/>
      <c r="R150" s="6"/>
      <c r="S150" s="1"/>
      <c r="T150" s="1"/>
      <c r="U150" s="6"/>
      <c r="V150" s="6"/>
      <c r="W150" s="6"/>
      <c r="X150" s="6"/>
      <c r="BU150" s="3"/>
      <c r="BV150" s="3"/>
      <c r="CK150" s="13"/>
    </row>
    <row r="151" spans="1:89" ht="12.75">
      <c r="A151" s="1"/>
      <c r="B151" s="1"/>
      <c r="C151" s="1"/>
      <c r="D151" s="1"/>
      <c r="E151" s="1"/>
      <c r="F151" s="1"/>
      <c r="G151" s="1"/>
      <c r="H151" s="1"/>
      <c r="I151" s="1"/>
      <c r="J151" s="109"/>
      <c r="K151" s="109"/>
      <c r="L151" s="109"/>
      <c r="M151" s="109"/>
      <c r="N151" s="109"/>
      <c r="O151" s="109"/>
      <c r="P151" s="1"/>
      <c r="Q151" s="6"/>
      <c r="R151" s="6"/>
      <c r="S151" s="1"/>
      <c r="T151" s="1"/>
      <c r="U151" s="6"/>
      <c r="V151" s="6"/>
      <c r="W151" s="6"/>
      <c r="X151" s="6"/>
      <c r="BU151" s="3"/>
      <c r="BV151" s="3"/>
      <c r="CK151" s="13"/>
    </row>
    <row r="152" spans="1:89" ht="12.75">
      <c r="A152" s="1"/>
      <c r="B152" s="1"/>
      <c r="C152" s="1"/>
      <c r="D152" s="1"/>
      <c r="E152" s="1"/>
      <c r="F152" s="1"/>
      <c r="G152" s="1"/>
      <c r="H152" s="1"/>
      <c r="I152" s="1"/>
      <c r="J152" s="109"/>
      <c r="K152" s="109"/>
      <c r="L152" s="109"/>
      <c r="M152" s="109"/>
      <c r="N152" s="109"/>
      <c r="O152" s="109"/>
      <c r="P152" s="1"/>
      <c r="Q152" s="6"/>
      <c r="R152" s="6"/>
      <c r="S152" s="1"/>
      <c r="T152" s="1"/>
      <c r="U152" s="6"/>
      <c r="V152" s="6"/>
      <c r="W152" s="6"/>
      <c r="X152" s="6"/>
      <c r="BU152" s="3"/>
      <c r="BV152" s="3"/>
      <c r="CK152" s="13"/>
    </row>
    <row r="153" spans="1:89" ht="12.75">
      <c r="A153" s="1"/>
      <c r="B153" s="1"/>
      <c r="C153" s="1"/>
      <c r="D153" s="1"/>
      <c r="E153" s="1"/>
      <c r="F153" s="1"/>
      <c r="G153" s="1"/>
      <c r="H153" s="1"/>
      <c r="I153" s="1"/>
      <c r="J153" s="109"/>
      <c r="K153" s="109"/>
      <c r="L153" s="109"/>
      <c r="M153" s="109"/>
      <c r="N153" s="109"/>
      <c r="O153" s="109"/>
      <c r="P153" s="1"/>
      <c r="Q153" s="6"/>
      <c r="R153" s="6"/>
      <c r="S153" s="1"/>
      <c r="T153" s="1"/>
      <c r="U153" s="6"/>
      <c r="V153" s="6"/>
      <c r="W153" s="6"/>
      <c r="X153" s="6"/>
      <c r="BU153" s="3"/>
      <c r="BV153" s="3"/>
      <c r="CK153" s="13"/>
    </row>
    <row r="154" spans="1:89" ht="12.75">
      <c r="A154" s="1"/>
      <c r="B154" s="1"/>
      <c r="C154" s="1"/>
      <c r="D154" s="1"/>
      <c r="E154" s="1"/>
      <c r="F154" s="1"/>
      <c r="G154" s="1"/>
      <c r="H154" s="1"/>
      <c r="I154" s="1"/>
      <c r="J154" s="109"/>
      <c r="K154" s="109"/>
      <c r="L154" s="109"/>
      <c r="M154" s="109"/>
      <c r="N154" s="109"/>
      <c r="O154" s="109"/>
      <c r="P154" s="1"/>
      <c r="Q154" s="6"/>
      <c r="R154" s="6"/>
      <c r="S154" s="1"/>
      <c r="T154" s="1"/>
      <c r="U154" s="6"/>
      <c r="V154" s="6"/>
      <c r="W154" s="6"/>
      <c r="X154" s="6"/>
      <c r="BU154" s="3"/>
      <c r="BV154" s="3"/>
      <c r="CK154" s="13"/>
    </row>
    <row r="155" spans="1:89" ht="12.75">
      <c r="A155" s="1"/>
      <c r="B155" s="1"/>
      <c r="C155" s="1"/>
      <c r="D155" s="1"/>
      <c r="E155" s="1"/>
      <c r="F155" s="1"/>
      <c r="G155" s="1"/>
      <c r="H155" s="1"/>
      <c r="I155" s="1"/>
      <c r="J155" s="109"/>
      <c r="K155" s="109"/>
      <c r="L155" s="109"/>
      <c r="M155" s="109"/>
      <c r="N155" s="109"/>
      <c r="O155" s="109"/>
      <c r="P155" s="1"/>
      <c r="Q155" s="6"/>
      <c r="R155" s="6"/>
      <c r="S155" s="1"/>
      <c r="T155" s="1"/>
      <c r="U155" s="6"/>
      <c r="V155" s="6"/>
      <c r="W155" s="6"/>
      <c r="X155" s="6"/>
      <c r="BU155" s="3"/>
      <c r="BV155" s="3"/>
      <c r="CK155" s="13"/>
    </row>
    <row r="156" spans="1:89" ht="12.75">
      <c r="A156" s="1"/>
      <c r="B156" s="1"/>
      <c r="C156" s="1"/>
      <c r="D156" s="1"/>
      <c r="E156" s="1"/>
      <c r="F156" s="1"/>
      <c r="G156" s="1"/>
      <c r="H156" s="1"/>
      <c r="I156" s="1"/>
      <c r="J156" s="109"/>
      <c r="K156" s="109"/>
      <c r="L156" s="109"/>
      <c r="M156" s="109"/>
      <c r="N156" s="109"/>
      <c r="O156" s="109"/>
      <c r="P156" s="1"/>
      <c r="Q156" s="6"/>
      <c r="R156" s="6"/>
      <c r="S156" s="1"/>
      <c r="T156" s="1"/>
      <c r="U156" s="6"/>
      <c r="V156" s="6"/>
      <c r="W156" s="6"/>
      <c r="X156" s="6"/>
      <c r="BU156" s="3"/>
      <c r="BV156" s="3"/>
      <c r="CK156" s="13"/>
    </row>
    <row r="157" spans="1:89" ht="12.75">
      <c r="A157" s="1"/>
      <c r="B157" s="1"/>
      <c r="C157" s="1"/>
      <c r="D157" s="1"/>
      <c r="E157" s="1"/>
      <c r="F157" s="1"/>
      <c r="G157" s="1"/>
      <c r="H157" s="1"/>
      <c r="I157" s="1"/>
      <c r="J157" s="109"/>
      <c r="K157" s="109"/>
      <c r="L157" s="109"/>
      <c r="M157" s="109"/>
      <c r="N157" s="109"/>
      <c r="O157" s="109"/>
      <c r="P157" s="1"/>
      <c r="Q157" s="6"/>
      <c r="R157" s="6"/>
      <c r="S157" s="1"/>
      <c r="T157" s="1"/>
      <c r="U157" s="6"/>
      <c r="V157" s="6"/>
      <c r="W157" s="6"/>
      <c r="X157" s="6"/>
      <c r="BU157" s="3"/>
      <c r="BV157" s="3"/>
      <c r="CK157" s="13"/>
    </row>
    <row r="158" spans="1:89" ht="12.75">
      <c r="A158" s="1"/>
      <c r="B158" s="1"/>
      <c r="C158" s="1"/>
      <c r="D158" s="1"/>
      <c r="E158" s="1"/>
      <c r="F158" s="1"/>
      <c r="G158" s="1"/>
      <c r="H158" s="1"/>
      <c r="I158" s="1"/>
      <c r="J158" s="109"/>
      <c r="K158" s="109"/>
      <c r="L158" s="109"/>
      <c r="M158" s="109"/>
      <c r="N158" s="109"/>
      <c r="O158" s="109"/>
      <c r="P158" s="1"/>
      <c r="Q158" s="6"/>
      <c r="R158" s="6"/>
      <c r="S158" s="1"/>
      <c r="T158" s="1"/>
      <c r="U158" s="6"/>
      <c r="V158" s="6"/>
      <c r="W158" s="6"/>
      <c r="X158" s="6"/>
      <c r="BU158" s="3"/>
      <c r="BV158" s="3"/>
      <c r="CK158" s="13"/>
    </row>
    <row r="159" spans="1:89" ht="12.75">
      <c r="A159" s="1"/>
      <c r="B159" s="1"/>
      <c r="C159" s="1"/>
      <c r="D159" s="1"/>
      <c r="E159" s="1"/>
      <c r="F159" s="1"/>
      <c r="G159" s="1"/>
      <c r="H159" s="1"/>
      <c r="I159" s="1"/>
      <c r="J159" s="109"/>
      <c r="K159" s="109"/>
      <c r="L159" s="109"/>
      <c r="M159" s="109"/>
      <c r="N159" s="109"/>
      <c r="O159" s="109"/>
      <c r="P159" s="1"/>
      <c r="Q159" s="6"/>
      <c r="R159" s="6"/>
      <c r="S159" s="1"/>
      <c r="T159" s="1"/>
      <c r="U159" s="6"/>
      <c r="V159" s="6"/>
      <c r="W159" s="6"/>
      <c r="X159" s="6"/>
      <c r="BU159" s="3"/>
      <c r="BV159" s="3"/>
      <c r="CK159" s="13"/>
    </row>
    <row r="160" spans="1:89" ht="12.75">
      <c r="A160" s="1"/>
      <c r="B160" s="1"/>
      <c r="C160" s="1"/>
      <c r="D160" s="1"/>
      <c r="E160" s="1"/>
      <c r="F160" s="1"/>
      <c r="G160" s="1"/>
      <c r="H160" s="1"/>
      <c r="I160" s="1"/>
      <c r="J160" s="109"/>
      <c r="K160" s="109"/>
      <c r="L160" s="109"/>
      <c r="M160" s="109"/>
      <c r="N160" s="109"/>
      <c r="O160" s="109"/>
      <c r="P160" s="1"/>
      <c r="Q160" s="6"/>
      <c r="R160" s="6"/>
      <c r="S160" s="1"/>
      <c r="T160" s="1"/>
      <c r="U160" s="6"/>
      <c r="V160" s="6"/>
      <c r="W160" s="6"/>
      <c r="X160" s="6"/>
      <c r="BU160" s="3"/>
      <c r="BV160" s="3"/>
      <c r="CK160" s="13"/>
    </row>
    <row r="161" spans="1:89" ht="12.75">
      <c r="A161" s="1"/>
      <c r="B161" s="1"/>
      <c r="C161" s="1"/>
      <c r="D161" s="1"/>
      <c r="E161" s="1"/>
      <c r="F161" s="1"/>
      <c r="G161" s="1"/>
      <c r="H161" s="1"/>
      <c r="I161" s="1"/>
      <c r="J161" s="109"/>
      <c r="K161" s="109"/>
      <c r="L161" s="109"/>
      <c r="M161" s="109"/>
      <c r="N161" s="109"/>
      <c r="O161" s="109"/>
      <c r="P161" s="1"/>
      <c r="Q161" s="6"/>
      <c r="R161" s="6"/>
      <c r="S161" s="1"/>
      <c r="T161" s="1"/>
      <c r="U161" s="6"/>
      <c r="V161" s="6"/>
      <c r="W161" s="6"/>
      <c r="X161" s="6"/>
      <c r="BU161" s="3"/>
      <c r="BV161" s="3"/>
      <c r="CK161" s="13"/>
    </row>
    <row r="162" spans="1:89" ht="12.75">
      <c r="A162" s="1"/>
      <c r="B162" s="1"/>
      <c r="C162" s="1"/>
      <c r="D162" s="1"/>
      <c r="E162" s="1"/>
      <c r="F162" s="1"/>
      <c r="G162" s="1"/>
      <c r="H162" s="1"/>
      <c r="I162" s="1"/>
      <c r="J162" s="109"/>
      <c r="K162" s="109"/>
      <c r="L162" s="109"/>
      <c r="M162" s="109"/>
      <c r="N162" s="109"/>
      <c r="O162" s="109"/>
      <c r="P162" s="1"/>
      <c r="Q162" s="6"/>
      <c r="R162" s="6"/>
      <c r="S162" s="1"/>
      <c r="T162" s="1"/>
      <c r="U162" s="6"/>
      <c r="V162" s="6"/>
      <c r="W162" s="6"/>
      <c r="X162" s="6"/>
      <c r="BU162" s="3"/>
      <c r="BV162" s="3"/>
      <c r="CK162" s="13"/>
    </row>
    <row r="163" spans="1:89" ht="12.75">
      <c r="A163" s="1"/>
      <c r="B163" s="1"/>
      <c r="C163" s="1"/>
      <c r="D163" s="1"/>
      <c r="E163" s="1"/>
      <c r="F163" s="1"/>
      <c r="G163" s="1"/>
      <c r="H163" s="1"/>
      <c r="I163" s="1"/>
      <c r="J163" s="109"/>
      <c r="K163" s="109"/>
      <c r="L163" s="109"/>
      <c r="M163" s="109"/>
      <c r="N163" s="109"/>
      <c r="O163" s="109"/>
      <c r="P163" s="1"/>
      <c r="Q163" s="6"/>
      <c r="R163" s="6"/>
      <c r="S163" s="1"/>
      <c r="T163" s="1"/>
      <c r="U163" s="6"/>
      <c r="V163" s="6"/>
      <c r="W163" s="6"/>
      <c r="X163" s="6"/>
      <c r="BU163" s="3"/>
      <c r="BV163" s="3"/>
      <c r="CK163" s="13"/>
    </row>
    <row r="164" spans="1:89" ht="12.75">
      <c r="A164" s="1"/>
      <c r="B164" s="1"/>
      <c r="C164" s="1"/>
      <c r="D164" s="1"/>
      <c r="E164" s="1"/>
      <c r="F164" s="1"/>
      <c r="G164" s="1"/>
      <c r="H164" s="1"/>
      <c r="I164" s="1"/>
      <c r="J164" s="109"/>
      <c r="K164" s="109"/>
      <c r="L164" s="109"/>
      <c r="M164" s="109"/>
      <c r="N164" s="109"/>
      <c r="O164" s="109"/>
      <c r="P164" s="1"/>
      <c r="Q164" s="6"/>
      <c r="R164" s="6"/>
      <c r="S164" s="1"/>
      <c r="T164" s="1"/>
      <c r="U164" s="6"/>
      <c r="V164" s="6"/>
      <c r="W164" s="6"/>
      <c r="X164" s="6"/>
      <c r="BU164" s="3"/>
      <c r="BV164" s="3"/>
      <c r="CK164" s="13"/>
    </row>
    <row r="165" spans="1:89" ht="12.75">
      <c r="A165" s="1"/>
      <c r="B165" s="1"/>
      <c r="C165" s="1"/>
      <c r="D165" s="1"/>
      <c r="E165" s="1"/>
      <c r="F165" s="1"/>
      <c r="G165" s="1"/>
      <c r="H165" s="1"/>
      <c r="I165" s="1"/>
      <c r="J165" s="109"/>
      <c r="K165" s="109"/>
      <c r="L165" s="109"/>
      <c r="M165" s="109"/>
      <c r="N165" s="109"/>
      <c r="O165" s="109"/>
      <c r="P165" s="1"/>
      <c r="Q165" s="6"/>
      <c r="R165" s="6"/>
      <c r="S165" s="1"/>
      <c r="T165" s="1"/>
      <c r="U165" s="6"/>
      <c r="V165" s="6"/>
      <c r="W165" s="6"/>
      <c r="X165" s="6"/>
      <c r="BU165" s="3"/>
      <c r="BV165" s="3"/>
      <c r="CK165" s="13"/>
    </row>
    <row r="166" spans="1:89" ht="12.75">
      <c r="A166" s="1"/>
      <c r="B166" s="1"/>
      <c r="C166" s="1"/>
      <c r="D166" s="1"/>
      <c r="E166" s="1"/>
      <c r="F166" s="1"/>
      <c r="G166" s="1"/>
      <c r="H166" s="1"/>
      <c r="I166" s="1"/>
      <c r="J166" s="109"/>
      <c r="K166" s="109"/>
      <c r="L166" s="109"/>
      <c r="M166" s="109"/>
      <c r="N166" s="109"/>
      <c r="O166" s="109"/>
      <c r="P166" s="1"/>
      <c r="Q166" s="6"/>
      <c r="R166" s="6"/>
      <c r="S166" s="1"/>
      <c r="T166" s="1"/>
      <c r="U166" s="6"/>
      <c r="V166" s="6"/>
      <c r="W166" s="6"/>
      <c r="X166" s="6"/>
      <c r="BU166" s="3"/>
      <c r="BV166" s="3"/>
      <c r="CK166" s="13"/>
    </row>
    <row r="167" spans="1:89" ht="12.75">
      <c r="A167" s="1"/>
      <c r="B167" s="1"/>
      <c r="C167" s="1"/>
      <c r="D167" s="1"/>
      <c r="E167" s="1"/>
      <c r="F167" s="1"/>
      <c r="G167" s="1"/>
      <c r="H167" s="1"/>
      <c r="I167" s="1"/>
      <c r="J167" s="109"/>
      <c r="K167" s="109"/>
      <c r="L167" s="109"/>
      <c r="M167" s="109"/>
      <c r="N167" s="109"/>
      <c r="O167" s="109"/>
      <c r="P167" s="1"/>
      <c r="Q167" s="6"/>
      <c r="R167" s="6"/>
      <c r="S167" s="1"/>
      <c r="T167" s="1"/>
      <c r="U167" s="6"/>
      <c r="V167" s="6"/>
      <c r="W167" s="6"/>
      <c r="X167" s="6"/>
      <c r="BU167" s="3"/>
      <c r="BV167" s="3"/>
      <c r="CK167" s="13"/>
    </row>
    <row r="168" spans="1:89" ht="12.75">
      <c r="A168" s="1"/>
      <c r="B168" s="1"/>
      <c r="C168" s="1"/>
      <c r="D168" s="1"/>
      <c r="E168" s="1"/>
      <c r="F168" s="1"/>
      <c r="G168" s="1"/>
      <c r="H168" s="1"/>
      <c r="I168" s="1"/>
      <c r="J168" s="109"/>
      <c r="K168" s="109"/>
      <c r="L168" s="109"/>
      <c r="M168" s="109"/>
      <c r="N168" s="109"/>
      <c r="O168" s="109"/>
      <c r="P168" s="1"/>
      <c r="Q168" s="6"/>
      <c r="R168" s="6"/>
      <c r="S168" s="1"/>
      <c r="T168" s="1"/>
      <c r="U168" s="6"/>
      <c r="V168" s="6"/>
      <c r="W168" s="6"/>
      <c r="X168" s="6"/>
      <c r="BU168" s="3"/>
      <c r="BV168" s="3"/>
      <c r="CK168" s="13"/>
    </row>
    <row r="169" spans="1:89" ht="12.75">
      <c r="A169" s="1"/>
      <c r="B169" s="1"/>
      <c r="C169" s="1"/>
      <c r="D169" s="1"/>
      <c r="E169" s="1"/>
      <c r="F169" s="1"/>
      <c r="G169" s="1"/>
      <c r="H169" s="1"/>
      <c r="I169" s="1"/>
      <c r="J169" s="109"/>
      <c r="K169" s="109"/>
      <c r="L169" s="109"/>
      <c r="M169" s="109"/>
      <c r="N169" s="109"/>
      <c r="O169" s="109"/>
      <c r="P169" s="1"/>
      <c r="Q169" s="6"/>
      <c r="R169" s="6"/>
      <c r="S169" s="1"/>
      <c r="T169" s="1"/>
      <c r="U169" s="6"/>
      <c r="V169" s="6"/>
      <c r="W169" s="6"/>
      <c r="X169" s="6"/>
      <c r="BU169" s="3"/>
      <c r="BV169" s="3"/>
      <c r="CK169" s="13"/>
    </row>
    <row r="170" spans="1:89" ht="12.75">
      <c r="A170" s="1"/>
      <c r="B170" s="1"/>
      <c r="C170" s="1"/>
      <c r="D170" s="1"/>
      <c r="E170" s="1"/>
      <c r="F170" s="1"/>
      <c r="G170" s="1"/>
      <c r="H170" s="1"/>
      <c r="I170" s="1"/>
      <c r="J170" s="109"/>
      <c r="K170" s="109"/>
      <c r="L170" s="109"/>
      <c r="M170" s="109"/>
      <c r="N170" s="109"/>
      <c r="O170" s="109"/>
      <c r="P170" s="1"/>
      <c r="Q170" s="6"/>
      <c r="R170" s="6"/>
      <c r="S170" s="1"/>
      <c r="T170" s="1"/>
      <c r="U170" s="6"/>
      <c r="V170" s="6"/>
      <c r="W170" s="6"/>
      <c r="X170" s="6"/>
      <c r="BU170" s="3"/>
      <c r="BV170" s="3"/>
      <c r="CK170" s="13"/>
    </row>
    <row r="171" spans="17:89" ht="12.75">
      <c r="Q171" s="5"/>
      <c r="R171" s="5"/>
      <c r="U171" s="5"/>
      <c r="V171" s="5"/>
      <c r="W171" s="5"/>
      <c r="X171" s="5"/>
      <c r="BU171" s="3"/>
      <c r="BV171" s="3"/>
      <c r="CK171" s="13"/>
    </row>
    <row r="172" spans="17:89" ht="12.75">
      <c r="Q172" s="5"/>
      <c r="R172" s="5"/>
      <c r="U172" s="5"/>
      <c r="V172" s="5"/>
      <c r="W172" s="5"/>
      <c r="X172" s="5"/>
      <c r="BU172" s="3"/>
      <c r="BV172" s="3"/>
      <c r="CK172" s="13"/>
    </row>
  </sheetData>
  <sheetProtection/>
  <mergeCells count="46">
    <mergeCell ref="AK6:AL6"/>
    <mergeCell ref="AM6:AN6"/>
    <mergeCell ref="AO6:AP6"/>
    <mergeCell ref="AG6:AH6"/>
    <mergeCell ref="CK6:CL6"/>
    <mergeCell ref="A6:A7"/>
    <mergeCell ref="BY6:BZ6"/>
    <mergeCell ref="BQ6:BR6"/>
    <mergeCell ref="BU6:BV6"/>
    <mergeCell ref="BO6:BP6"/>
    <mergeCell ref="BW6:BX6"/>
    <mergeCell ref="BI6:BJ6"/>
    <mergeCell ref="BK6:BL6"/>
    <mergeCell ref="CI6:CJ6"/>
    <mergeCell ref="CM6:CN6"/>
    <mergeCell ref="CA6:CB6"/>
    <mergeCell ref="CC6:CD6"/>
    <mergeCell ref="CE6:CF6"/>
    <mergeCell ref="CG6:CH6"/>
    <mergeCell ref="BC6:BD6"/>
    <mergeCell ref="BS6:BT6"/>
    <mergeCell ref="BM6:BN6"/>
    <mergeCell ref="BE6:BF6"/>
    <mergeCell ref="BG6:BH6"/>
    <mergeCell ref="AA6:AB6"/>
    <mergeCell ref="AC6:AD6"/>
    <mergeCell ref="AE6:AF6"/>
    <mergeCell ref="AY6:AZ6"/>
    <mergeCell ref="BA6:BB6"/>
    <mergeCell ref="AQ6:AR6"/>
    <mergeCell ref="AS6:AT6"/>
    <mergeCell ref="AU6:AV6"/>
    <mergeCell ref="AW6:AX6"/>
    <mergeCell ref="AI6:AJ6"/>
    <mergeCell ref="O6:P6"/>
    <mergeCell ref="Q6:R6"/>
    <mergeCell ref="S6:T6"/>
    <mergeCell ref="U6:V6"/>
    <mergeCell ref="W6:X6"/>
    <mergeCell ref="Y6:Z6"/>
    <mergeCell ref="B6:C6"/>
    <mergeCell ref="D6:E6"/>
    <mergeCell ref="H6:I6"/>
    <mergeCell ref="J6:K6"/>
    <mergeCell ref="F6:G6"/>
    <mergeCell ref="M6:N6"/>
  </mergeCells>
  <printOptions horizontalCentered="1" verticalCentered="1"/>
  <pageMargins left="0.3937007874015748" right="0.3937007874015748" top="0" bottom="0" header="0" footer="0"/>
  <pageSetup horizontalDpi="600" verticalDpi="600" orientation="landscape" paperSize="45" scale="70" r:id="rId4"/>
  <legacyDrawing r:id="rId3"/>
  <oleObjects>
    <oleObject progId="MSPhotoEd.3" shapeId="23099219" r:id="rId1"/>
    <oleObject progId="MSPhotoEd.3" shapeId="482803" r:id="rId2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K28"/>
  <sheetViews>
    <sheetView zoomScalePageLayoutView="0" workbookViewId="0" topLeftCell="A1">
      <selection activeCell="G16" sqref="G16"/>
    </sheetView>
  </sheetViews>
  <sheetFormatPr defaultColWidth="11.421875" defaultRowHeight="12.75"/>
  <cols>
    <col min="1" max="1" width="35.8515625" style="0" bestFit="1" customWidth="1"/>
    <col min="2" max="3" width="11.28125" style="0" customWidth="1"/>
    <col min="4" max="7" width="10.421875" style="0" customWidth="1"/>
    <col min="8" max="9" width="11.28125" style="0" customWidth="1"/>
    <col min="10" max="11" width="12.28125" style="0" customWidth="1"/>
  </cols>
  <sheetData>
    <row r="1" ht="13.5">
      <c r="A1" s="23" t="s">
        <v>85</v>
      </c>
    </row>
    <row r="2" ht="13.5">
      <c r="A2" s="24" t="s">
        <v>71</v>
      </c>
    </row>
    <row r="3" ht="13.5">
      <c r="A3" s="23" t="s">
        <v>72</v>
      </c>
    </row>
    <row r="4" ht="13.5">
      <c r="A4" s="23" t="s">
        <v>127</v>
      </c>
    </row>
    <row r="5" ht="14.25" thickBot="1">
      <c r="A5" s="23" t="s">
        <v>73</v>
      </c>
    </row>
    <row r="6" spans="1:11" ht="13.5" customHeight="1" thickBot="1">
      <c r="A6" s="372" t="s">
        <v>56</v>
      </c>
      <c r="B6" s="368" t="s">
        <v>10</v>
      </c>
      <c r="C6" s="369"/>
      <c r="D6" s="368" t="s">
        <v>1</v>
      </c>
      <c r="E6" s="369"/>
      <c r="F6" s="368" t="s">
        <v>104</v>
      </c>
      <c r="G6" s="369"/>
      <c r="H6" s="368" t="s">
        <v>62</v>
      </c>
      <c r="I6" s="369"/>
      <c r="J6" s="368" t="s">
        <v>2</v>
      </c>
      <c r="K6" s="369"/>
    </row>
    <row r="7" spans="1:11" ht="13.5" thickBot="1">
      <c r="A7" s="373"/>
      <c r="B7" s="263">
        <v>40724</v>
      </c>
      <c r="C7" s="263">
        <v>41090</v>
      </c>
      <c r="D7" s="263">
        <v>40724</v>
      </c>
      <c r="E7" s="263">
        <v>41090</v>
      </c>
      <c r="F7" s="263">
        <v>40724</v>
      </c>
      <c r="G7" s="263">
        <v>41090</v>
      </c>
      <c r="H7" s="263">
        <v>40724</v>
      </c>
      <c r="I7" s="263">
        <v>41090</v>
      </c>
      <c r="J7" s="263">
        <v>40724</v>
      </c>
      <c r="K7" s="263">
        <v>41090</v>
      </c>
    </row>
    <row r="8" spans="1:11" ht="13.5" thickBot="1">
      <c r="A8" s="72" t="s">
        <v>40</v>
      </c>
      <c r="B8" s="71"/>
      <c r="C8" s="71"/>
      <c r="D8" s="71"/>
      <c r="E8" s="71"/>
      <c r="F8" s="71"/>
      <c r="G8" s="71"/>
      <c r="H8" s="71"/>
      <c r="I8" s="71"/>
      <c r="J8" s="86"/>
      <c r="K8" s="86"/>
    </row>
    <row r="9" spans="1:11" ht="13.5" thickBot="1">
      <c r="A9" s="73" t="s">
        <v>60</v>
      </c>
      <c r="B9" s="257">
        <f>4!B10/4!B15</f>
        <v>0.6864684466988488</v>
      </c>
      <c r="C9" s="257">
        <f>4!C10/4!C15</f>
        <v>0.7304918801427401</v>
      </c>
      <c r="D9" s="257">
        <f>4!D10/4!D15</f>
        <v>0.6101677900445213</v>
      </c>
      <c r="E9" s="257">
        <f>4!E10/4!E15</f>
        <v>0.9704645128678265</v>
      </c>
      <c r="F9" s="257" t="e">
        <f>4!F10/4!F15</f>
        <v>#DIV/0!</v>
      </c>
      <c r="G9" s="257">
        <f>4!G10/4!G15</f>
        <v>1.6683229706040583</v>
      </c>
      <c r="H9" s="257">
        <f>4!H10/4!H15</f>
        <v>0.7020808609442376</v>
      </c>
      <c r="I9" s="257">
        <f>4!I10/4!I15</f>
        <v>0.6803028929105122</v>
      </c>
      <c r="J9" s="257">
        <f>4!J10/4!J15</f>
        <v>0.2776762964693775</v>
      </c>
      <c r="K9" s="257">
        <f>4!K10/4!K15</f>
        <v>0.930837734729955</v>
      </c>
    </row>
    <row r="10" spans="1:11" ht="13.5" thickBot="1">
      <c r="A10" s="72" t="s">
        <v>41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</row>
    <row r="11" spans="1:11" ht="12.75">
      <c r="A11" s="75" t="s">
        <v>8</v>
      </c>
      <c r="B11" s="258">
        <f>+4!B15/4!B18</f>
        <v>0.4886214112827897</v>
      </c>
      <c r="C11" s="258">
        <f>+4!C15/4!C18</f>
        <v>0.4942345995190791</v>
      </c>
      <c r="D11" s="258">
        <f>+4!D15/4!D18</f>
        <v>1</v>
      </c>
      <c r="E11" s="258">
        <f>+4!E15/4!E18</f>
        <v>0.992275456530606</v>
      </c>
      <c r="F11" s="258" t="e">
        <f>+4!F15/4!F18</f>
        <v>#DIV/0!</v>
      </c>
      <c r="G11" s="258">
        <f>+4!G15/4!G18</f>
        <v>1</v>
      </c>
      <c r="H11" s="258">
        <f>+4!H15/4!H18</f>
        <v>0.41801367322062644</v>
      </c>
      <c r="I11" s="258">
        <f>+4!I15/4!I18</f>
        <v>0.44305528993333837</v>
      </c>
      <c r="J11" s="258">
        <f>+4!J15/4!J18</f>
        <v>0.7722168488195865</v>
      </c>
      <c r="K11" s="258">
        <f>+4!K15/4!K18</f>
        <v>0.917141498580496</v>
      </c>
    </row>
    <row r="12" spans="1:11" ht="12.75">
      <c r="A12" s="55" t="s">
        <v>42</v>
      </c>
      <c r="B12" s="259">
        <f>4!B18/4!B24</f>
        <v>6.710896197993695</v>
      </c>
      <c r="C12" s="259">
        <f>4!C18/4!C24</f>
        <v>4.360069627165754</v>
      </c>
      <c r="D12" s="259">
        <f>4!D18/4!D24</f>
        <v>43.839838774107164</v>
      </c>
      <c r="E12" s="259">
        <f>4!E18/4!E24</f>
        <v>66.26805843428649</v>
      </c>
      <c r="F12" s="259" t="e">
        <f>4!F18/4!F24</f>
        <v>#DIV/0!</v>
      </c>
      <c r="G12" s="259">
        <f>4!G18/4!G24</f>
        <v>0.5241370790576507</v>
      </c>
      <c r="H12" s="259">
        <f>4!H18/4!H24</f>
        <v>4.525817144307426</v>
      </c>
      <c r="I12" s="259">
        <f>4!I18/4!I24</f>
        <v>4.03148508283125</v>
      </c>
      <c r="J12" s="259">
        <f>4!J18/4!J24</f>
        <v>-2.1084298169487887</v>
      </c>
      <c r="K12" s="259">
        <f>4!K18/4!K24</f>
        <v>13.353636716937755</v>
      </c>
    </row>
    <row r="13" spans="1:11" ht="12.75">
      <c r="A13" s="56" t="s">
        <v>43</v>
      </c>
      <c r="B13" s="259">
        <f>4!B16/4!B24</f>
        <v>3.4318086267577086</v>
      </c>
      <c r="C13" s="259">
        <f>4!C16/4!C24</f>
        <v>2.1661720923111885</v>
      </c>
      <c r="D13" s="259">
        <f>4!D16/4!D24</f>
        <v>0</v>
      </c>
      <c r="E13" s="259">
        <f>4!E16/4!E24</f>
        <v>0.5118904980079871</v>
      </c>
      <c r="F13" s="259" t="e">
        <f>4!F16/4!F24</f>
        <v>#DIV/0!</v>
      </c>
      <c r="G13" s="259">
        <f>4!G16/4!G24</f>
        <v>0</v>
      </c>
      <c r="H13" s="259">
        <f>4!H16/4!H24</f>
        <v>2.633963695490593</v>
      </c>
      <c r="I13" s="259">
        <f>4!I16/4!I24</f>
        <v>2.245314290595522</v>
      </c>
      <c r="J13" s="259">
        <f>4!J16/4!J24</f>
        <v>-0.48026478774733744</v>
      </c>
      <c r="K13" s="259">
        <f>4!K16/4!K24</f>
        <v>0</v>
      </c>
    </row>
    <row r="14" spans="1:11" ht="13.5" thickBot="1">
      <c r="A14" s="78" t="s">
        <v>44</v>
      </c>
      <c r="B14" s="260">
        <f>4!B18/4!B13</f>
        <v>0.8703133888358289</v>
      </c>
      <c r="C14" s="260">
        <f>4!C18/4!C13</f>
        <v>0.8134352594859526</v>
      </c>
      <c r="D14" s="260">
        <f>4!D18/4!D13</f>
        <v>0.9776984033096602</v>
      </c>
      <c r="E14" s="260">
        <f>4!E18/4!E13</f>
        <v>0.9851341104082002</v>
      </c>
      <c r="F14" s="260" t="e">
        <f>4!F18/4!F13</f>
        <v>#DIV/0!</v>
      </c>
      <c r="G14" s="260">
        <f>4!G18/4!G13</f>
        <v>0.3438910359570257</v>
      </c>
      <c r="H14" s="260">
        <f>4!H18/4!H13</f>
        <v>0.8190312900545076</v>
      </c>
      <c r="I14" s="260">
        <f>4!I18/4!I13</f>
        <v>0.8012515224556139</v>
      </c>
      <c r="J14" s="260">
        <f>4!J18/4!J13</f>
        <v>1.9021771019772211</v>
      </c>
      <c r="K14" s="260">
        <f>4!K18/4!K13</f>
        <v>0.9303312469535199</v>
      </c>
    </row>
    <row r="15" spans="1:11" ht="13.5" thickBot="1">
      <c r="A15" s="72" t="s">
        <v>45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</row>
    <row r="16" spans="1:11" ht="12.75">
      <c r="A16" s="75" t="s">
        <v>58</v>
      </c>
      <c r="B16" s="261">
        <f>4!B13/4!B18</f>
        <v>1.149011393858534</v>
      </c>
      <c r="C16" s="261">
        <f>4!C13/4!C18</f>
        <v>1.229354135241133</v>
      </c>
      <c r="D16" s="261">
        <f>4!D13/4!D18</f>
        <v>1.0228103028652247</v>
      </c>
      <c r="E16" s="261">
        <f>4!E13/4!E18</f>
        <v>1.0150902191232014</v>
      </c>
      <c r="F16" s="261" t="e">
        <f>4!F13/4!F18</f>
        <v>#DIV/0!</v>
      </c>
      <c r="G16" s="261">
        <f>4!G13/4!G18</f>
        <v>2.907897838095916</v>
      </c>
      <c r="H16" s="261">
        <f>4!H13/4!H18</f>
        <v>1.220954574193922</v>
      </c>
      <c r="I16" s="261">
        <f>4!I13/4!I18</f>
        <v>1.2480475505809674</v>
      </c>
      <c r="J16" s="261">
        <f>4!J13/4!J18</f>
        <v>0.5257134043725731</v>
      </c>
      <c r="K16" s="261">
        <f>4!K13/4!K18</f>
        <v>1.0748859648373832</v>
      </c>
    </row>
    <row r="17" spans="1:11" ht="13.5" thickBot="1">
      <c r="A17" s="78" t="s">
        <v>57</v>
      </c>
      <c r="B17" s="260">
        <f>4!B13/4!B15</f>
        <v>2.351537135554511</v>
      </c>
      <c r="C17" s="260">
        <f>4!C13/4!C15</f>
        <v>2.487389867964264</v>
      </c>
      <c r="D17" s="260">
        <f>4!D13/4!D15</f>
        <v>1.0228103028652247</v>
      </c>
      <c r="E17" s="260">
        <f>4!E13/4!E15</f>
        <v>1.0229923681397552</v>
      </c>
      <c r="F17" s="260" t="e">
        <f>4!F13/4!F15</f>
        <v>#DIV/0!</v>
      </c>
      <c r="G17" s="260">
        <f>4!G13/4!G15</f>
        <v>2.907897838095916</v>
      </c>
      <c r="H17" s="260">
        <f>4!H13/4!H15</f>
        <v>2.920848413371172</v>
      </c>
      <c r="I17" s="260">
        <f>4!I13/4!I15</f>
        <v>2.8169115208369306</v>
      </c>
      <c r="J17" s="260">
        <f>4!J13/4!J15</f>
        <v>0.6807846852554182</v>
      </c>
      <c r="K17" s="260">
        <f>4!K13/4!K15</f>
        <v>1.171995778733201</v>
      </c>
    </row>
    <row r="18" spans="1:11" ht="13.5" thickBot="1">
      <c r="A18" s="72" t="s">
        <v>47</v>
      </c>
      <c r="B18" s="77"/>
      <c r="C18" s="77"/>
      <c r="D18" s="77"/>
      <c r="E18" s="77"/>
      <c r="F18" s="77"/>
      <c r="G18" s="77"/>
      <c r="H18" s="77"/>
      <c r="I18" s="77"/>
      <c r="J18" s="77"/>
      <c r="K18" s="77"/>
    </row>
    <row r="19" spans="1:11" ht="12.75">
      <c r="A19" s="75" t="s">
        <v>48</v>
      </c>
      <c r="B19" s="261">
        <f>4!B11/4!B16</f>
        <v>0.8008105581484479</v>
      </c>
      <c r="C19" s="261">
        <f>4!C11/4!C16</f>
        <v>0.943566885759586</v>
      </c>
      <c r="D19" s="261" t="e">
        <f>4!D11/4!D16</f>
        <v>#DIV/0!</v>
      </c>
      <c r="E19" s="261">
        <f>4!E11/4!E16</f>
        <v>1.764924343166639</v>
      </c>
      <c r="F19" s="261" t="e">
        <f>4!F11/4!F16</f>
        <v>#DIV/0!</v>
      </c>
      <c r="G19" s="261" t="e">
        <f>4!G11/4!G16</f>
        <v>#DIV/0!</v>
      </c>
      <c r="H19" s="261">
        <f>4!H11/4!H16</f>
        <v>0.8287299252760192</v>
      </c>
      <c r="I19" s="261">
        <f>4!I11/4!I16</f>
        <v>0.9295837695675438</v>
      </c>
      <c r="J19" s="261">
        <f>4!J11/4!J16</f>
        <v>0.03690795143469187</v>
      </c>
      <c r="K19" s="261" t="e">
        <f>4!K11/4!K16</f>
        <v>#DIV/0!</v>
      </c>
    </row>
    <row r="20" spans="1:11" ht="13.5" thickBot="1">
      <c r="A20" s="78" t="s">
        <v>46</v>
      </c>
      <c r="B20" s="260">
        <f>4!B13/4!B18</f>
        <v>1.149011393858534</v>
      </c>
      <c r="C20" s="260">
        <f>4!C13/4!C18</f>
        <v>1.229354135241133</v>
      </c>
      <c r="D20" s="260">
        <f>4!D13/4!D18</f>
        <v>1.0228103028652247</v>
      </c>
      <c r="E20" s="260">
        <f>4!E13/4!E18</f>
        <v>1.0150902191232014</v>
      </c>
      <c r="F20" s="260" t="e">
        <f>4!F13/4!F18</f>
        <v>#DIV/0!</v>
      </c>
      <c r="G20" s="260">
        <f>4!G13/4!G18</f>
        <v>2.907897838095916</v>
      </c>
      <c r="H20" s="260">
        <f>4!H13/4!H18</f>
        <v>1.220954574193922</v>
      </c>
      <c r="I20" s="260">
        <f>4!I13/4!I18</f>
        <v>1.2480475505809674</v>
      </c>
      <c r="J20" s="260">
        <f>4!J13/4!J18</f>
        <v>0.5257134043725731</v>
      </c>
      <c r="K20" s="260">
        <f>4!K13/4!K18</f>
        <v>1.0748859648373832</v>
      </c>
    </row>
    <row r="21" spans="1:11" ht="13.5" thickBot="1">
      <c r="A21" s="72" t="s">
        <v>49</v>
      </c>
      <c r="B21" s="77"/>
      <c r="C21" s="77"/>
      <c r="D21" s="77"/>
      <c r="E21" s="77"/>
      <c r="F21" s="77"/>
      <c r="G21" s="77"/>
      <c r="H21" s="77"/>
      <c r="I21" s="77"/>
      <c r="J21" s="77"/>
      <c r="K21" s="77"/>
    </row>
    <row r="22" spans="1:11" ht="13.5" thickBot="1">
      <c r="A22" s="80" t="s">
        <v>55</v>
      </c>
      <c r="B22" s="257">
        <f>4!B24/4!B13</f>
        <v>0.1296866116176882</v>
      </c>
      <c r="C22" s="257">
        <f>4!C24/4!C13</f>
        <v>0.1865647407137218</v>
      </c>
      <c r="D22" s="257">
        <f>4!D24/4!D13</f>
        <v>0.022301596690339834</v>
      </c>
      <c r="E22" s="257">
        <f>4!E24/4!E13</f>
        <v>0.014865896688147133</v>
      </c>
      <c r="F22" s="257" t="e">
        <f>4!F24/4!F13</f>
        <v>#DIV/0!</v>
      </c>
      <c r="G22" s="257">
        <f>4!G24/4!G13</f>
        <v>0.6561089640429743</v>
      </c>
      <c r="H22" s="257">
        <f>4!H24/4!H13</f>
        <v>0.18096870994549244</v>
      </c>
      <c r="I22" s="257">
        <f>4!I24/4!I13</f>
        <v>0.19874847754438604</v>
      </c>
      <c r="J22" s="257">
        <f>4!J24/4!J13</f>
        <v>-0.902177101977221</v>
      </c>
      <c r="K22" s="257">
        <f>4!K24/4!K13</f>
        <v>0.06966875516191687</v>
      </c>
    </row>
    <row r="23" spans="1:11" ht="13.5" thickBot="1">
      <c r="A23" s="72" t="s">
        <v>50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</row>
    <row r="24" spans="1:11" ht="12.75">
      <c r="A24" s="75" t="s">
        <v>59</v>
      </c>
      <c r="B24" s="261">
        <f>4!B36/4!B28</f>
        <v>0.02672481159246901</v>
      </c>
      <c r="C24" s="261">
        <f>4!C36/4!C28</f>
        <v>0.06362536166036203</v>
      </c>
      <c r="D24" s="261">
        <f>4!D36/4!D28</f>
        <v>0.006425599091741046</v>
      </c>
      <c r="E24" s="261">
        <f>4!E36/4!E28</f>
        <v>-0.07062325665267026</v>
      </c>
      <c r="F24" s="261" t="e">
        <f>4!F36/4!F28</f>
        <v>#DIV/0!</v>
      </c>
      <c r="G24" s="261">
        <f>4!G36/4!G28</f>
        <v>-0.5582565599000997</v>
      </c>
      <c r="H24" s="261">
        <f>4!H36/4!H28</f>
        <v>0.07683710153601656</v>
      </c>
      <c r="I24" s="261">
        <f>4!I36/4!I28</f>
        <v>0.11951551029188488</v>
      </c>
      <c r="J24" s="261">
        <f>4!J36/4!J28</f>
        <v>-0.22951459945965202</v>
      </c>
      <c r="K24" s="261">
        <f>4!K36/4!K28</f>
        <v>-0.43386775752911744</v>
      </c>
    </row>
    <row r="25" spans="1:11" ht="13.5" thickBot="1">
      <c r="A25" s="78" t="s">
        <v>51</v>
      </c>
      <c r="B25" s="260">
        <f>4!B37/4!B30</f>
        <v>0.03808437661773429</v>
      </c>
      <c r="C25" s="260">
        <f>4!C37/4!C30</f>
        <v>0.023785258919044098</v>
      </c>
      <c r="D25" s="260">
        <f>4!D37/4!D30</f>
        <v>-0.018618626608981868</v>
      </c>
      <c r="E25" s="260">
        <f>4!E37/4!E30</f>
        <v>-0.03416680153885758</v>
      </c>
      <c r="F25" s="260" t="e">
        <f>4!F37/4!F30</f>
        <v>#DIV/0!</v>
      </c>
      <c r="G25" s="260">
        <f>4!G37/4!G30</f>
        <v>-0.6651131963326748</v>
      </c>
      <c r="H25" s="260">
        <f>4!H37/4!H30</f>
        <v>0.08121810727511951</v>
      </c>
      <c r="I25" s="260">
        <f>4!I37/4!I30</f>
        <v>0.07273655640681166</v>
      </c>
      <c r="J25" s="260">
        <f>4!J37/4!J30</f>
        <v>-0.207270968823497</v>
      </c>
      <c r="K25" s="260">
        <f>4!K37/4!K30</f>
        <v>-0.42601168568410636</v>
      </c>
    </row>
    <row r="26" spans="1:11" ht="13.5" thickBot="1">
      <c r="A26" s="72" t="s">
        <v>52</v>
      </c>
      <c r="B26" s="81"/>
      <c r="C26" s="81"/>
      <c r="D26" s="81"/>
      <c r="E26" s="81"/>
      <c r="F26" s="81"/>
      <c r="G26" s="81"/>
      <c r="H26" s="81"/>
      <c r="I26" s="81"/>
      <c r="J26" s="81"/>
      <c r="K26" s="81"/>
    </row>
    <row r="27" spans="1:11" ht="13.5" thickBot="1">
      <c r="A27" s="83" t="s">
        <v>53</v>
      </c>
      <c r="B27" s="262">
        <f>4!B10-4!B15</f>
        <v>-587984272</v>
      </c>
      <c r="C27" s="262">
        <f>4!C10-4!C15</f>
        <v>-542632076</v>
      </c>
      <c r="D27" s="262">
        <f>4!D10-4!D15</f>
        <v>-69778646</v>
      </c>
      <c r="E27" s="262">
        <f>4!E10-4!E15</f>
        <v>-8137048</v>
      </c>
      <c r="F27" s="262">
        <f>4!F10-4!F15</f>
        <v>0</v>
      </c>
      <c r="G27" s="262">
        <f>4!G10-4!G15</f>
        <v>6402645</v>
      </c>
      <c r="H27" s="262">
        <f>4!H10-4!H15</f>
        <v>-404172000</v>
      </c>
      <c r="I27" s="262">
        <f>4!I10-4!I15</f>
        <v>-514736000</v>
      </c>
      <c r="J27" s="262">
        <f>4!J10-4!J15</f>
        <v>-175675224</v>
      </c>
      <c r="K27" s="262">
        <f>4!K10-4!K15</f>
        <v>-27896076</v>
      </c>
    </row>
    <row r="28" ht="12.75">
      <c r="A28" s="82" t="s">
        <v>86</v>
      </c>
    </row>
  </sheetData>
  <sheetProtection/>
  <mergeCells count="6">
    <mergeCell ref="D6:E6"/>
    <mergeCell ref="H6:I6"/>
    <mergeCell ref="J6:K6"/>
    <mergeCell ref="A6:A7"/>
    <mergeCell ref="F6:G6"/>
    <mergeCell ref="B6:C6"/>
  </mergeCells>
  <printOptions/>
  <pageMargins left="1.36" right="0.71" top="1.1811023622047245" bottom="0.5118110236220472" header="0" footer="0"/>
  <pageSetup fitToHeight="1" fitToWidth="1" horizontalDpi="600" verticalDpi="600" orientation="landscape" scale="81" r:id="rId3"/>
  <legacyDrawing r:id="rId2"/>
  <oleObjects>
    <oleObject progId="MSPhotoEd.3" shapeId="524156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A1:CJ171"/>
  <sheetViews>
    <sheetView zoomScalePageLayoutView="0" workbookViewId="0" topLeftCell="A1">
      <selection activeCell="G24" sqref="G24"/>
    </sheetView>
  </sheetViews>
  <sheetFormatPr defaultColWidth="11.421875" defaultRowHeight="12.75"/>
  <cols>
    <col min="1" max="1" width="34.421875" style="0" customWidth="1"/>
    <col min="2" max="3" width="12.00390625" style="13" customWidth="1"/>
    <col min="4" max="5" width="9.8515625" style="0" customWidth="1"/>
    <col min="8" max="8" width="14.421875" style="0" bestFit="1" customWidth="1"/>
  </cols>
  <sheetData>
    <row r="1" spans="1:84" ht="13.5">
      <c r="A1" s="23" t="s">
        <v>87</v>
      </c>
      <c r="L1" s="5"/>
      <c r="M1" s="5"/>
      <c r="P1" s="5"/>
      <c r="Q1" s="5"/>
      <c r="R1" s="5"/>
      <c r="S1" s="5"/>
      <c r="BP1" s="3"/>
      <c r="BQ1" s="3"/>
      <c r="CF1" s="13"/>
    </row>
    <row r="2" spans="1:84" ht="13.5">
      <c r="A2" s="24" t="s">
        <v>71</v>
      </c>
      <c r="L2" s="5"/>
      <c r="M2" s="5"/>
      <c r="P2" s="5"/>
      <c r="Q2" s="5"/>
      <c r="R2" s="5"/>
      <c r="S2" s="5"/>
      <c r="BP2" s="3"/>
      <c r="BQ2" s="3"/>
      <c r="CF2" s="13"/>
    </row>
    <row r="3" spans="1:84" ht="13.5">
      <c r="A3" s="23" t="s">
        <v>72</v>
      </c>
      <c r="L3" s="5"/>
      <c r="M3" s="5"/>
      <c r="P3" s="5"/>
      <c r="Q3" s="5"/>
      <c r="R3" s="5"/>
      <c r="S3" s="5"/>
      <c r="BP3" s="3"/>
      <c r="BQ3" s="3"/>
      <c r="CF3" s="13"/>
    </row>
    <row r="4" spans="1:84" ht="13.5">
      <c r="A4" s="23" t="s">
        <v>109</v>
      </c>
      <c r="L4" s="5"/>
      <c r="M4" s="5"/>
      <c r="P4" s="5"/>
      <c r="Q4" s="5"/>
      <c r="R4" s="5"/>
      <c r="S4" s="5"/>
      <c r="BP4" s="3"/>
      <c r="BQ4" s="3"/>
      <c r="CF4" s="13"/>
    </row>
    <row r="5" spans="1:84" ht="14.25" thickBot="1">
      <c r="A5" s="23" t="s">
        <v>68</v>
      </c>
      <c r="L5" s="5"/>
      <c r="M5" s="5"/>
      <c r="P5" s="5"/>
      <c r="Q5" s="5"/>
      <c r="R5" s="5"/>
      <c r="S5" s="5"/>
      <c r="BP5" s="3"/>
      <c r="BQ5" s="3"/>
      <c r="CF5" s="13"/>
    </row>
    <row r="6" spans="1:88" s="2" customFormat="1" ht="15.75" customHeight="1" thickBot="1">
      <c r="A6" s="372" t="s">
        <v>56</v>
      </c>
      <c r="B6" s="368" t="s">
        <v>106</v>
      </c>
      <c r="C6" s="369"/>
      <c r="D6" s="368" t="s">
        <v>76</v>
      </c>
      <c r="E6" s="369"/>
      <c r="F6" s="368" t="s">
        <v>98</v>
      </c>
      <c r="G6" s="369"/>
      <c r="H6" s="359"/>
      <c r="I6" s="359"/>
      <c r="J6" s="359"/>
      <c r="K6" s="359"/>
      <c r="L6" s="358"/>
      <c r="M6" s="358"/>
      <c r="N6" s="358"/>
      <c r="O6" s="358"/>
      <c r="P6" s="358"/>
      <c r="Q6" s="358"/>
      <c r="R6" s="357"/>
      <c r="S6" s="357"/>
      <c r="T6" s="358"/>
      <c r="U6" s="358"/>
      <c r="V6" s="357"/>
      <c r="W6" s="357"/>
      <c r="X6" s="363"/>
      <c r="Y6" s="363"/>
      <c r="Z6" s="358"/>
      <c r="AA6" s="358"/>
      <c r="AB6" s="361"/>
      <c r="AC6" s="361"/>
      <c r="AD6" s="362"/>
      <c r="AE6" s="362"/>
      <c r="AF6" s="361"/>
      <c r="AG6" s="361"/>
      <c r="AH6" s="360"/>
      <c r="AI6" s="360"/>
      <c r="AJ6" s="361"/>
      <c r="AK6" s="361"/>
      <c r="AL6" s="361"/>
      <c r="AM6" s="361"/>
      <c r="AN6" s="361"/>
      <c r="AO6" s="361"/>
      <c r="AP6" s="358"/>
      <c r="AQ6" s="358"/>
      <c r="AR6" s="358"/>
      <c r="AS6" s="358"/>
      <c r="AT6" s="358"/>
      <c r="AU6" s="358"/>
      <c r="AV6" s="358"/>
      <c r="AW6" s="358"/>
      <c r="AX6" s="360"/>
      <c r="AY6" s="360"/>
      <c r="AZ6" s="361"/>
      <c r="BA6" s="361"/>
      <c r="BB6" s="360"/>
      <c r="BC6" s="360"/>
      <c r="BD6" s="364"/>
      <c r="BE6" s="364"/>
      <c r="BF6" s="361"/>
      <c r="BG6" s="361"/>
      <c r="BH6" s="361"/>
      <c r="BI6" s="361"/>
      <c r="BJ6" s="359"/>
      <c r="BK6" s="359"/>
      <c r="BL6" s="359"/>
      <c r="BM6" s="359"/>
      <c r="BN6" s="362"/>
      <c r="BO6" s="362"/>
      <c r="BP6" s="358"/>
      <c r="BQ6" s="358"/>
      <c r="BR6" s="359"/>
      <c r="BS6" s="359"/>
      <c r="BT6" s="359"/>
      <c r="BU6" s="359"/>
      <c r="BV6" s="359"/>
      <c r="BW6" s="359"/>
      <c r="BX6" s="359"/>
      <c r="BY6" s="359"/>
      <c r="BZ6" s="359"/>
      <c r="CA6" s="359"/>
      <c r="CB6" s="359"/>
      <c r="CC6" s="359"/>
      <c r="CD6" s="359"/>
      <c r="CE6" s="359"/>
      <c r="CF6" s="359"/>
      <c r="CG6" s="359"/>
      <c r="CH6" s="359"/>
      <c r="CI6" s="359"/>
      <c r="CJ6" s="51"/>
    </row>
    <row r="7" spans="1:88" s="2" customFormat="1" ht="13.5" thickBot="1">
      <c r="A7" s="373"/>
      <c r="B7" s="263">
        <v>40724</v>
      </c>
      <c r="C7" s="263">
        <v>41090</v>
      </c>
      <c r="D7" s="263">
        <v>40724</v>
      </c>
      <c r="E7" s="263">
        <v>41090</v>
      </c>
      <c r="F7" s="263">
        <v>40724</v>
      </c>
      <c r="G7" s="263">
        <v>41090</v>
      </c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51"/>
    </row>
    <row r="8" spans="1:88" s="2" customFormat="1" ht="12.75">
      <c r="A8" s="53" t="s">
        <v>11</v>
      </c>
      <c r="B8" s="160"/>
      <c r="C8" s="160"/>
      <c r="D8" s="178"/>
      <c r="E8" s="160"/>
      <c r="F8" s="218"/>
      <c r="G8" s="218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51"/>
    </row>
    <row r="9" spans="1:88" s="2" customFormat="1" ht="15" customHeight="1">
      <c r="A9" s="54" t="s">
        <v>12</v>
      </c>
      <c r="B9" s="59"/>
      <c r="C9" s="59"/>
      <c r="D9" s="59"/>
      <c r="E9" s="59"/>
      <c r="F9" s="219"/>
      <c r="G9" s="219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51"/>
    </row>
    <row r="10" spans="1:88" ht="15" customHeight="1">
      <c r="A10" s="55" t="s">
        <v>13</v>
      </c>
      <c r="B10" s="60">
        <f aca="true" t="shared" si="0" ref="B10:C12">+D10+F10</f>
        <v>23919353</v>
      </c>
      <c r="C10" s="60">
        <f t="shared" si="0"/>
        <v>21748812</v>
      </c>
      <c r="D10" s="60">
        <v>4645794</v>
      </c>
      <c r="E10" s="60">
        <v>3123914</v>
      </c>
      <c r="F10" s="220">
        <v>19273559</v>
      </c>
      <c r="G10" s="220">
        <v>18624898</v>
      </c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5"/>
    </row>
    <row r="11" spans="1:88" ht="15" customHeight="1">
      <c r="A11" s="55" t="s">
        <v>14</v>
      </c>
      <c r="B11" s="60">
        <f t="shared" si="0"/>
        <v>40085916</v>
      </c>
      <c r="C11" s="60">
        <f t="shared" si="0"/>
        <v>40195590</v>
      </c>
      <c r="D11" s="60">
        <v>2256907</v>
      </c>
      <c r="E11" s="60">
        <v>2413212</v>
      </c>
      <c r="F11" s="220">
        <v>37829009</v>
      </c>
      <c r="G11" s="220">
        <v>37782378</v>
      </c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5"/>
    </row>
    <row r="12" spans="1:88" ht="15" customHeight="1">
      <c r="A12" s="55" t="s">
        <v>15</v>
      </c>
      <c r="B12" s="60">
        <f t="shared" si="0"/>
        <v>42347946</v>
      </c>
      <c r="C12" s="60">
        <f t="shared" si="0"/>
        <v>60304548</v>
      </c>
      <c r="D12" s="60">
        <f>2958615+1197059</f>
        <v>4155674</v>
      </c>
      <c r="E12" s="60">
        <f>1508958+7523102</f>
        <v>9032060</v>
      </c>
      <c r="F12" s="220">
        <f>31076496+7115776</f>
        <v>38192272</v>
      </c>
      <c r="G12" s="220">
        <f>44156713+7115775</f>
        <v>51272488</v>
      </c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5"/>
    </row>
    <row r="13" spans="1:88" s="4" customFormat="1" ht="15" customHeight="1">
      <c r="A13" s="54" t="s">
        <v>16</v>
      </c>
      <c r="B13" s="62">
        <f aca="true" t="shared" si="1" ref="B13:G13">SUM(B10:B12)</f>
        <v>106353215</v>
      </c>
      <c r="C13" s="62">
        <f t="shared" si="1"/>
        <v>122248950</v>
      </c>
      <c r="D13" s="62">
        <f t="shared" si="1"/>
        <v>11058375</v>
      </c>
      <c r="E13" s="62">
        <f t="shared" si="1"/>
        <v>14569186</v>
      </c>
      <c r="F13" s="221">
        <f t="shared" si="1"/>
        <v>95294840</v>
      </c>
      <c r="G13" s="221">
        <f t="shared" si="1"/>
        <v>107679764</v>
      </c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52"/>
    </row>
    <row r="14" spans="1:88" ht="15" customHeight="1">
      <c r="A14" s="54" t="s">
        <v>17</v>
      </c>
      <c r="B14" s="61"/>
      <c r="C14" s="61"/>
      <c r="D14" s="61"/>
      <c r="E14" s="61"/>
      <c r="F14" s="222"/>
      <c r="G14" s="222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25"/>
    </row>
    <row r="15" spans="1:88" ht="15" customHeight="1">
      <c r="A15" s="55" t="s">
        <v>18</v>
      </c>
      <c r="B15" s="60">
        <f aca="true" t="shared" si="2" ref="B15:C17">+D15+F15</f>
        <v>23922898</v>
      </c>
      <c r="C15" s="60">
        <f t="shared" si="2"/>
        <v>29906595</v>
      </c>
      <c r="D15" s="60">
        <v>3871683</v>
      </c>
      <c r="E15" s="60">
        <v>4804629</v>
      </c>
      <c r="F15" s="220">
        <v>20051215</v>
      </c>
      <c r="G15" s="220">
        <v>25101966</v>
      </c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5"/>
    </row>
    <row r="16" spans="1:88" ht="15" customHeight="1">
      <c r="A16" s="56" t="s">
        <v>19</v>
      </c>
      <c r="B16" s="60">
        <f t="shared" si="2"/>
        <v>64320855</v>
      </c>
      <c r="C16" s="60">
        <f t="shared" si="2"/>
        <v>56595876</v>
      </c>
      <c r="D16" s="60">
        <v>3590164</v>
      </c>
      <c r="E16" s="60">
        <v>5620114</v>
      </c>
      <c r="F16" s="220">
        <v>60730691</v>
      </c>
      <c r="G16" s="220">
        <v>50975762</v>
      </c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5"/>
    </row>
    <row r="17" spans="1:88" ht="15" customHeight="1">
      <c r="A17" s="55" t="s">
        <v>20</v>
      </c>
      <c r="B17" s="60">
        <f t="shared" si="2"/>
        <v>0</v>
      </c>
      <c r="C17" s="60">
        <f t="shared" si="2"/>
        <v>931658</v>
      </c>
      <c r="D17" s="60">
        <v>0</v>
      </c>
      <c r="E17" s="60">
        <v>931658</v>
      </c>
      <c r="F17" s="220"/>
      <c r="G17" s="220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5"/>
    </row>
    <row r="18" spans="1:88" s="4" customFormat="1" ht="15" customHeight="1">
      <c r="A18" s="54" t="s">
        <v>21</v>
      </c>
      <c r="B18" s="62">
        <f aca="true" t="shared" si="3" ref="B18:G18">SUM(B15:B17)</f>
        <v>88243753</v>
      </c>
      <c r="C18" s="62">
        <f t="shared" si="3"/>
        <v>87434129</v>
      </c>
      <c r="D18" s="62">
        <f t="shared" si="3"/>
        <v>7461847</v>
      </c>
      <c r="E18" s="62">
        <f t="shared" si="3"/>
        <v>11356401</v>
      </c>
      <c r="F18" s="221">
        <f t="shared" si="3"/>
        <v>80781906</v>
      </c>
      <c r="G18" s="221">
        <f t="shared" si="3"/>
        <v>76077728</v>
      </c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52"/>
    </row>
    <row r="19" spans="1:88" ht="15" customHeight="1">
      <c r="A19" s="54" t="s">
        <v>22</v>
      </c>
      <c r="B19" s="61"/>
      <c r="C19" s="61"/>
      <c r="D19" s="61"/>
      <c r="E19" s="61"/>
      <c r="F19" s="222"/>
      <c r="G19" s="222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25"/>
    </row>
    <row r="20" spans="1:88" ht="15" customHeight="1">
      <c r="A20" s="55" t="s">
        <v>23</v>
      </c>
      <c r="B20" s="60">
        <f aca="true" t="shared" si="4" ref="B20:C23">+D20+F20</f>
        <v>8792220</v>
      </c>
      <c r="C20" s="60">
        <f t="shared" si="4"/>
        <v>10376640</v>
      </c>
      <c r="D20" s="60">
        <v>2400000</v>
      </c>
      <c r="E20" s="60">
        <v>2400000</v>
      </c>
      <c r="F20" s="220">
        <v>6392220</v>
      </c>
      <c r="G20" s="220">
        <v>7976640</v>
      </c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5"/>
    </row>
    <row r="21" spans="1:88" s="195" customFormat="1" ht="15" customHeight="1">
      <c r="A21" s="196" t="s">
        <v>24</v>
      </c>
      <c r="B21" s="61">
        <f t="shared" si="4"/>
        <v>2291149</v>
      </c>
      <c r="C21" s="61">
        <f t="shared" si="4"/>
        <v>1648071</v>
      </c>
      <c r="D21" s="61">
        <v>658542</v>
      </c>
      <c r="E21" s="197">
        <v>-526091</v>
      </c>
      <c r="F21" s="222">
        <v>1632607</v>
      </c>
      <c r="G21" s="222">
        <v>2174162</v>
      </c>
      <c r="H21" s="193"/>
      <c r="I21" s="193"/>
      <c r="J21" s="193"/>
      <c r="K21" s="193"/>
      <c r="L21" s="193"/>
      <c r="M21" s="193"/>
      <c r="N21" s="193"/>
      <c r="O21" s="193"/>
      <c r="P21" s="193"/>
      <c r="Q21" s="193"/>
      <c r="R21" s="193"/>
      <c r="S21" s="193"/>
      <c r="T21" s="193"/>
      <c r="U21" s="193"/>
      <c r="V21" s="193"/>
      <c r="W21" s="193"/>
      <c r="X21" s="193"/>
      <c r="Y21" s="193"/>
      <c r="Z21" s="193"/>
      <c r="AA21" s="193"/>
      <c r="AB21" s="193"/>
      <c r="AC21" s="193"/>
      <c r="AD21" s="193"/>
      <c r="AE21" s="193"/>
      <c r="AF21" s="193"/>
      <c r="AG21" s="193"/>
      <c r="AH21" s="193"/>
      <c r="AI21" s="193"/>
      <c r="AJ21" s="193"/>
      <c r="AK21" s="193"/>
      <c r="AL21" s="193"/>
      <c r="AM21" s="193"/>
      <c r="AN21" s="193"/>
      <c r="AO21" s="193"/>
      <c r="AP21" s="193"/>
      <c r="AQ21" s="193"/>
      <c r="AR21" s="193"/>
      <c r="AS21" s="193"/>
      <c r="AT21" s="193"/>
      <c r="AU21" s="193"/>
      <c r="AV21" s="193"/>
      <c r="AW21" s="193"/>
      <c r="AX21" s="193"/>
      <c r="AY21" s="193"/>
      <c r="AZ21" s="193"/>
      <c r="BA21" s="193"/>
      <c r="BB21" s="193"/>
      <c r="BC21" s="193"/>
      <c r="BD21" s="193"/>
      <c r="BE21" s="193"/>
      <c r="BF21" s="193"/>
      <c r="BG21" s="193"/>
      <c r="BH21" s="193"/>
      <c r="BI21" s="193"/>
      <c r="BJ21" s="193"/>
      <c r="BK21" s="193"/>
      <c r="BL21" s="193"/>
      <c r="BM21" s="193"/>
      <c r="BN21" s="193"/>
      <c r="BO21" s="193"/>
      <c r="BP21" s="193"/>
      <c r="BQ21" s="193"/>
      <c r="BR21" s="193"/>
      <c r="BS21" s="193"/>
      <c r="BT21" s="193"/>
      <c r="BU21" s="193"/>
      <c r="BV21" s="193"/>
      <c r="BW21" s="193"/>
      <c r="BX21" s="193"/>
      <c r="BY21" s="193"/>
      <c r="BZ21" s="193"/>
      <c r="CA21" s="193"/>
      <c r="CB21" s="193"/>
      <c r="CC21" s="193"/>
      <c r="CD21" s="193"/>
      <c r="CE21" s="193"/>
      <c r="CF21" s="193"/>
      <c r="CG21" s="193"/>
      <c r="CH21" s="193"/>
      <c r="CI21" s="193"/>
      <c r="CJ21" s="194"/>
    </row>
    <row r="22" spans="1:88" ht="15" customHeight="1">
      <c r="A22" s="55" t="s">
        <v>25</v>
      </c>
      <c r="B22" s="60">
        <f t="shared" si="4"/>
        <v>-4070280</v>
      </c>
      <c r="C22" s="60">
        <f t="shared" si="4"/>
        <v>732465</v>
      </c>
      <c r="D22" s="60">
        <v>11663</v>
      </c>
      <c r="E22" s="60">
        <v>732465</v>
      </c>
      <c r="F22" s="220">
        <f>726243-4808186</f>
        <v>-4081943</v>
      </c>
      <c r="G22" s="220">
        <v>0</v>
      </c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5"/>
    </row>
    <row r="23" spans="1:88" ht="15" customHeight="1">
      <c r="A23" s="55" t="s">
        <v>26</v>
      </c>
      <c r="B23" s="60">
        <f t="shared" si="4"/>
        <v>11096373</v>
      </c>
      <c r="C23" s="60">
        <f t="shared" si="4"/>
        <v>22057645</v>
      </c>
      <c r="D23" s="60">
        <f>16109+510214</f>
        <v>526323</v>
      </c>
      <c r="E23" s="60">
        <f>96197+510214</f>
        <v>606411</v>
      </c>
      <c r="F23" s="220">
        <f>3454274+7115776</f>
        <v>10570050</v>
      </c>
      <c r="G23" s="220">
        <f>50605+7115775+14284854</f>
        <v>21451234</v>
      </c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5"/>
    </row>
    <row r="24" spans="1:88" s="4" customFormat="1" ht="15" customHeight="1">
      <c r="A24" s="54" t="s">
        <v>27</v>
      </c>
      <c r="B24" s="62">
        <f aca="true" t="shared" si="5" ref="B24:G24">SUM(B20:B23)</f>
        <v>18109462</v>
      </c>
      <c r="C24" s="62">
        <f t="shared" si="5"/>
        <v>34814821</v>
      </c>
      <c r="D24" s="62">
        <f t="shared" si="5"/>
        <v>3596528</v>
      </c>
      <c r="E24" s="62">
        <f t="shared" si="5"/>
        <v>3212785</v>
      </c>
      <c r="F24" s="221">
        <f t="shared" si="5"/>
        <v>14512934</v>
      </c>
      <c r="G24" s="221">
        <f t="shared" si="5"/>
        <v>31602036</v>
      </c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52"/>
    </row>
    <row r="25" spans="1:88" s="4" customFormat="1" ht="15" customHeight="1">
      <c r="A25" s="54" t="s">
        <v>28</v>
      </c>
      <c r="B25" s="62">
        <f aca="true" t="shared" si="6" ref="B25:G25">+B24+B18</f>
        <v>106353215</v>
      </c>
      <c r="C25" s="62">
        <f t="shared" si="6"/>
        <v>122248950</v>
      </c>
      <c r="D25" s="62">
        <f t="shared" si="6"/>
        <v>11058375</v>
      </c>
      <c r="E25" s="62">
        <f t="shared" si="6"/>
        <v>14569186</v>
      </c>
      <c r="F25" s="221">
        <f t="shared" si="6"/>
        <v>95294840</v>
      </c>
      <c r="G25" s="221">
        <f t="shared" si="6"/>
        <v>107679764</v>
      </c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52"/>
    </row>
    <row r="26" spans="1:88" ht="15" customHeight="1">
      <c r="A26" s="54" t="s">
        <v>29</v>
      </c>
      <c r="B26" s="87"/>
      <c r="C26" s="87"/>
      <c r="D26" s="87"/>
      <c r="E26" s="87"/>
      <c r="F26" s="223"/>
      <c r="G26" s="223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5"/>
    </row>
    <row r="27" spans="1:88" ht="15" customHeight="1">
      <c r="A27" s="54" t="s">
        <v>30</v>
      </c>
      <c r="B27" s="61"/>
      <c r="C27" s="61"/>
      <c r="D27" s="61"/>
      <c r="E27" s="61"/>
      <c r="F27" s="222"/>
      <c r="G27" s="222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25"/>
    </row>
    <row r="28" spans="1:88" ht="15" customHeight="1">
      <c r="A28" s="56" t="s">
        <v>31</v>
      </c>
      <c r="B28" s="60">
        <f>+D28+F28</f>
        <v>57703770</v>
      </c>
      <c r="C28" s="60">
        <f>+E28+G28</f>
        <v>72018939</v>
      </c>
      <c r="D28" s="60">
        <v>19512818</v>
      </c>
      <c r="E28" s="60">
        <v>21633541</v>
      </c>
      <c r="F28" s="220">
        <v>38190952</v>
      </c>
      <c r="G28" s="220">
        <v>50385398</v>
      </c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5"/>
    </row>
    <row r="29" spans="1:88" ht="15" customHeight="1">
      <c r="A29" s="56" t="s">
        <v>32</v>
      </c>
      <c r="B29" s="60">
        <f>+D29+F29</f>
        <v>603437</v>
      </c>
      <c r="C29" s="60">
        <f>+E29+G29</f>
        <v>301310</v>
      </c>
      <c r="D29" s="60">
        <v>261347</v>
      </c>
      <c r="E29" s="60">
        <v>301310</v>
      </c>
      <c r="F29" s="220">
        <v>342090</v>
      </c>
      <c r="G29" s="220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5"/>
    </row>
    <row r="30" spans="1:88" s="4" customFormat="1" ht="15" customHeight="1">
      <c r="A30" s="54" t="s">
        <v>33</v>
      </c>
      <c r="B30" s="62">
        <f aca="true" t="shared" si="7" ref="B30:G30">SUM(B28:B29)</f>
        <v>58307207</v>
      </c>
      <c r="C30" s="62">
        <f t="shared" si="7"/>
        <v>72320249</v>
      </c>
      <c r="D30" s="62">
        <f t="shared" si="7"/>
        <v>19774165</v>
      </c>
      <c r="E30" s="62">
        <f t="shared" si="7"/>
        <v>21934851</v>
      </c>
      <c r="F30" s="221">
        <f t="shared" si="7"/>
        <v>38533042</v>
      </c>
      <c r="G30" s="221">
        <f t="shared" si="7"/>
        <v>50385398</v>
      </c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52"/>
    </row>
    <row r="31" spans="1:88" ht="15" customHeight="1">
      <c r="A31" s="54" t="s">
        <v>34</v>
      </c>
      <c r="B31" s="61"/>
      <c r="C31" s="61"/>
      <c r="D31" s="61"/>
      <c r="E31" s="61"/>
      <c r="F31" s="222"/>
      <c r="G31" s="222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25"/>
    </row>
    <row r="32" spans="1:88" ht="15" customHeight="1">
      <c r="A32" s="55" t="s">
        <v>63</v>
      </c>
      <c r="B32" s="60">
        <f aca="true" t="shared" si="8" ref="B32:E34">+D32+F32</f>
        <v>52203115</v>
      </c>
      <c r="C32" s="60">
        <f t="shared" si="8"/>
        <v>64718608</v>
      </c>
      <c r="D32" s="60">
        <f>14364414+4126695</f>
        <v>18491109</v>
      </c>
      <c r="E32" s="60">
        <f>16968937+4661026</f>
        <v>21629963</v>
      </c>
      <c r="F32" s="220">
        <f>21351366+12360640</f>
        <v>33712006</v>
      </c>
      <c r="G32" s="220">
        <f>29623437+13465208</f>
        <v>43088645</v>
      </c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5"/>
    </row>
    <row r="33" spans="1:88" ht="15" customHeight="1">
      <c r="A33" s="55" t="s">
        <v>35</v>
      </c>
      <c r="B33" s="60">
        <f t="shared" si="8"/>
        <v>3812943</v>
      </c>
      <c r="C33" s="60">
        <f t="shared" si="8"/>
        <v>5953570</v>
      </c>
      <c r="D33" s="60">
        <v>624514</v>
      </c>
      <c r="E33" s="60">
        <v>830980</v>
      </c>
      <c r="F33" s="220">
        <v>3188429</v>
      </c>
      <c r="G33" s="220">
        <v>5122590</v>
      </c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5"/>
    </row>
    <row r="34" spans="1:88" ht="15" customHeight="1">
      <c r="A34" s="55" t="s">
        <v>36</v>
      </c>
      <c r="B34" s="60">
        <f t="shared" si="8"/>
        <v>0</v>
      </c>
      <c r="C34" s="60">
        <f t="shared" si="8"/>
        <v>0</v>
      </c>
      <c r="D34" s="60"/>
      <c r="E34" s="60">
        <f t="shared" si="8"/>
        <v>0</v>
      </c>
      <c r="F34" s="220"/>
      <c r="G34" s="220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5"/>
    </row>
    <row r="35" spans="1:88" s="4" customFormat="1" ht="15" customHeight="1" thickBot="1">
      <c r="A35" s="64" t="s">
        <v>37</v>
      </c>
      <c r="B35" s="276">
        <f aca="true" t="shared" si="9" ref="B35:G35">SUM(B32:B34)</f>
        <v>56016058</v>
      </c>
      <c r="C35" s="276">
        <f t="shared" si="9"/>
        <v>70672178</v>
      </c>
      <c r="D35" s="276">
        <f t="shared" si="9"/>
        <v>19115623</v>
      </c>
      <c r="E35" s="276">
        <f t="shared" si="9"/>
        <v>22460943</v>
      </c>
      <c r="F35" s="277">
        <f t="shared" si="9"/>
        <v>36900435</v>
      </c>
      <c r="G35" s="277">
        <f t="shared" si="9"/>
        <v>48211235</v>
      </c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52"/>
    </row>
    <row r="36" spans="1:88" s="5" customFormat="1" ht="15" customHeight="1">
      <c r="A36" s="85" t="s">
        <v>38</v>
      </c>
      <c r="B36" s="274">
        <f aca="true" t="shared" si="10" ref="B36:G36">+B28-B32</f>
        <v>5500655</v>
      </c>
      <c r="C36" s="274">
        <f t="shared" si="10"/>
        <v>7300331</v>
      </c>
      <c r="D36" s="274">
        <f t="shared" si="10"/>
        <v>1021709</v>
      </c>
      <c r="E36" s="274">
        <f>+E28-E32</f>
        <v>3578</v>
      </c>
      <c r="F36" s="275">
        <f t="shared" si="10"/>
        <v>4478946</v>
      </c>
      <c r="G36" s="275">
        <f t="shared" si="10"/>
        <v>7296753</v>
      </c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49"/>
    </row>
    <row r="37" spans="1:88" s="205" customFormat="1" ht="15" customHeight="1" thickBot="1">
      <c r="A37" s="200" t="s">
        <v>39</v>
      </c>
      <c r="B37" s="217">
        <f aca="true" t="shared" si="11" ref="B37:G37">+B30-B35</f>
        <v>2291149</v>
      </c>
      <c r="C37" s="217">
        <f t="shared" si="11"/>
        <v>1648071</v>
      </c>
      <c r="D37" s="217">
        <f t="shared" si="11"/>
        <v>658542</v>
      </c>
      <c r="E37" s="201">
        <f>+E30-E35</f>
        <v>-526092</v>
      </c>
      <c r="F37" s="224">
        <f t="shared" si="11"/>
        <v>1632607</v>
      </c>
      <c r="G37" s="224">
        <f t="shared" si="11"/>
        <v>2174163</v>
      </c>
      <c r="H37" s="188"/>
      <c r="I37" s="188"/>
      <c r="J37" s="188"/>
      <c r="K37" s="188"/>
      <c r="L37" s="188"/>
      <c r="M37" s="188"/>
      <c r="N37" s="188"/>
      <c r="O37" s="188"/>
      <c r="P37" s="188"/>
      <c r="Q37" s="188"/>
      <c r="R37" s="188"/>
      <c r="S37" s="188"/>
      <c r="T37" s="188"/>
      <c r="U37" s="188"/>
      <c r="V37" s="188"/>
      <c r="W37" s="188"/>
      <c r="X37" s="188"/>
      <c r="Y37" s="188"/>
      <c r="Z37" s="188"/>
      <c r="AA37" s="188"/>
      <c r="AB37" s="188"/>
      <c r="AC37" s="188"/>
      <c r="AD37" s="188"/>
      <c r="AE37" s="188"/>
      <c r="AF37" s="188"/>
      <c r="AG37" s="188"/>
      <c r="AH37" s="188"/>
      <c r="AI37" s="188"/>
      <c r="AJ37" s="188"/>
      <c r="AK37" s="188"/>
      <c r="AL37" s="188"/>
      <c r="AM37" s="188"/>
      <c r="AN37" s="188"/>
      <c r="AO37" s="188"/>
      <c r="AP37" s="188"/>
      <c r="AQ37" s="188"/>
      <c r="AR37" s="188"/>
      <c r="AS37" s="188"/>
      <c r="AT37" s="188"/>
      <c r="AU37" s="188"/>
      <c r="AV37" s="188"/>
      <c r="AW37" s="188"/>
      <c r="AX37" s="188"/>
      <c r="AY37" s="188"/>
      <c r="AZ37" s="188"/>
      <c r="BA37" s="188"/>
      <c r="BB37" s="188"/>
      <c r="BC37" s="188"/>
      <c r="BD37" s="188"/>
      <c r="BE37" s="188"/>
      <c r="BF37" s="188"/>
      <c r="BG37" s="188"/>
      <c r="BH37" s="188"/>
      <c r="BI37" s="188"/>
      <c r="BJ37" s="188"/>
      <c r="BK37" s="188"/>
      <c r="BL37" s="188"/>
      <c r="BM37" s="188"/>
      <c r="BN37" s="188"/>
      <c r="BO37" s="188"/>
      <c r="BP37" s="188"/>
      <c r="BQ37" s="188"/>
      <c r="BR37" s="188"/>
      <c r="BS37" s="188"/>
      <c r="BT37" s="188"/>
      <c r="BU37" s="188"/>
      <c r="BV37" s="188"/>
      <c r="BW37" s="188"/>
      <c r="BX37" s="188"/>
      <c r="BY37" s="188"/>
      <c r="BZ37" s="188"/>
      <c r="CA37" s="188"/>
      <c r="CB37" s="188"/>
      <c r="CC37" s="188"/>
      <c r="CD37" s="188"/>
      <c r="CE37" s="188"/>
      <c r="CF37" s="188"/>
      <c r="CG37" s="188"/>
      <c r="CH37" s="188"/>
      <c r="CI37" s="188"/>
      <c r="CJ37" s="204"/>
    </row>
    <row r="38" spans="1:5" s="112" customFormat="1" ht="9.75">
      <c r="A38" s="213" t="s">
        <v>107</v>
      </c>
      <c r="B38" s="155"/>
      <c r="C38" s="155"/>
      <c r="D38" s="155"/>
      <c r="E38" s="155"/>
    </row>
    <row r="39" spans="4:88" ht="15" customHeight="1">
      <c r="D39" s="89"/>
      <c r="E39" s="89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43"/>
      <c r="BE39" s="43"/>
      <c r="BF39" s="36"/>
      <c r="BG39" s="36"/>
      <c r="BH39" s="36"/>
      <c r="BI39" s="36"/>
      <c r="BJ39" s="36"/>
      <c r="BK39" s="36"/>
      <c r="BL39" s="43"/>
      <c r="BM39" s="43"/>
      <c r="BN39" s="36"/>
      <c r="BO39" s="36"/>
      <c r="BP39" s="36"/>
      <c r="BQ39" s="36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25"/>
    </row>
    <row r="40" spans="31:88" ht="15" customHeight="1"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25"/>
    </row>
    <row r="41" spans="31:88" ht="15" customHeight="1"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G41" s="46"/>
      <c r="CH41" s="46"/>
      <c r="CI41" s="46"/>
      <c r="CJ41" s="25"/>
    </row>
    <row r="42" spans="31:88" ht="15" customHeight="1"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B42" s="46"/>
      <c r="CC42" s="46"/>
      <c r="CD42" s="46"/>
      <c r="CE42" s="46"/>
      <c r="CF42" s="46"/>
      <c r="CG42" s="46"/>
      <c r="CH42" s="46"/>
      <c r="CI42" s="46"/>
      <c r="CJ42" s="25"/>
    </row>
    <row r="43" spans="31:88" ht="15" customHeight="1"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BR43" s="45"/>
      <c r="BS43" s="45"/>
      <c r="BT43" s="45"/>
      <c r="BU43" s="45"/>
      <c r="BV43" s="45"/>
      <c r="BW43" s="45"/>
      <c r="BX43" s="45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25"/>
    </row>
    <row r="44" spans="31:88" ht="15" customHeight="1"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BR44" s="45"/>
      <c r="BS44" s="45"/>
      <c r="BT44" s="45"/>
      <c r="BU44" s="45"/>
      <c r="BV44" s="45"/>
      <c r="BW44" s="45"/>
      <c r="BX44" s="45"/>
      <c r="BY44" s="45"/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25"/>
    </row>
    <row r="45" spans="31:88" ht="15" customHeight="1"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25"/>
    </row>
    <row r="46" spans="31:88" ht="15" customHeight="1"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25"/>
    </row>
    <row r="47" spans="31:88" ht="15" customHeight="1"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25"/>
    </row>
    <row r="48" spans="31:88" ht="15" customHeight="1"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45"/>
      <c r="BX48" s="45"/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45"/>
      <c r="CJ48" s="25"/>
    </row>
    <row r="49" spans="31:88" ht="15" customHeight="1"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B49" s="46"/>
      <c r="CC49" s="46"/>
      <c r="CD49" s="46"/>
      <c r="CE49" s="46"/>
      <c r="CF49" s="46"/>
      <c r="CG49" s="46"/>
      <c r="CH49" s="46"/>
      <c r="CI49" s="46"/>
      <c r="CJ49" s="25"/>
    </row>
    <row r="50" spans="31:88" ht="15" customHeight="1"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5"/>
      <c r="BQ50" s="45"/>
      <c r="BR50" s="45"/>
      <c r="BS50" s="45"/>
      <c r="BT50" s="45"/>
      <c r="BU50" s="45"/>
      <c r="BV50" s="45"/>
      <c r="BW50" s="45"/>
      <c r="BX50" s="45"/>
      <c r="BY50" s="45"/>
      <c r="BZ50" s="45"/>
      <c r="CA50" s="45"/>
      <c r="CB50" s="45"/>
      <c r="CC50" s="45"/>
      <c r="CD50" s="45"/>
      <c r="CE50" s="45"/>
      <c r="CF50" s="45"/>
      <c r="CG50" s="45"/>
      <c r="CH50" s="45"/>
      <c r="CI50" s="45"/>
      <c r="CJ50" s="25"/>
    </row>
    <row r="51" spans="31:88" ht="15" customHeight="1"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  <c r="BP51" s="45"/>
      <c r="BQ51" s="45"/>
      <c r="BR51" s="45"/>
      <c r="BS51" s="45"/>
      <c r="BT51" s="45"/>
      <c r="BU51" s="45"/>
      <c r="BV51" s="45"/>
      <c r="BW51" s="45"/>
      <c r="BX51" s="45"/>
      <c r="BY51" s="45"/>
      <c r="BZ51" s="45"/>
      <c r="CA51" s="45"/>
      <c r="CB51" s="45"/>
      <c r="CC51" s="45"/>
      <c r="CD51" s="45"/>
      <c r="CE51" s="45"/>
      <c r="CF51" s="45"/>
      <c r="CG51" s="45"/>
      <c r="CH51" s="45"/>
      <c r="CI51" s="45"/>
      <c r="CJ51" s="25"/>
    </row>
    <row r="52" spans="31:88" ht="15" customHeight="1"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46"/>
      <c r="BX52" s="46"/>
      <c r="BY52" s="46"/>
      <c r="BZ52" s="46"/>
      <c r="CA52" s="46"/>
      <c r="CB52" s="46"/>
      <c r="CC52" s="46"/>
      <c r="CD52" s="46"/>
      <c r="CE52" s="46"/>
      <c r="CF52" s="46"/>
      <c r="CG52" s="46"/>
      <c r="CH52" s="46"/>
      <c r="CI52" s="46"/>
      <c r="CJ52" s="25"/>
    </row>
    <row r="53" spans="31:88" ht="15" customHeight="1"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  <c r="BP53" s="45"/>
      <c r="BQ53" s="45"/>
      <c r="BR53" s="45"/>
      <c r="BS53" s="45"/>
      <c r="BT53" s="45"/>
      <c r="BU53" s="45"/>
      <c r="BV53" s="45"/>
      <c r="BW53" s="45"/>
      <c r="BX53" s="45"/>
      <c r="BY53" s="45"/>
      <c r="BZ53" s="45"/>
      <c r="CA53" s="45"/>
      <c r="CB53" s="45"/>
      <c r="CC53" s="45"/>
      <c r="CD53" s="45"/>
      <c r="CE53" s="45"/>
      <c r="CF53" s="45"/>
      <c r="CG53" s="45"/>
      <c r="CH53" s="45"/>
      <c r="CI53" s="45"/>
      <c r="CJ53" s="25"/>
    </row>
    <row r="54" spans="31:88" ht="15" customHeight="1"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6"/>
      <c r="CA54" s="46"/>
      <c r="CB54" s="46"/>
      <c r="CC54" s="46"/>
      <c r="CD54" s="46"/>
      <c r="CE54" s="46"/>
      <c r="CF54" s="46"/>
      <c r="CG54" s="46"/>
      <c r="CH54" s="46"/>
      <c r="CI54" s="46"/>
      <c r="CJ54" s="25"/>
    </row>
    <row r="55" spans="31:88" ht="15" customHeight="1"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  <c r="BP55" s="45"/>
      <c r="BQ55" s="45"/>
      <c r="BR55" s="45"/>
      <c r="BS55" s="45"/>
      <c r="BT55" s="45"/>
      <c r="BU55" s="45"/>
      <c r="BV55" s="45"/>
      <c r="BW55" s="45"/>
      <c r="BX55" s="45"/>
      <c r="BY55" s="45"/>
      <c r="BZ55" s="45"/>
      <c r="CA55" s="45"/>
      <c r="CB55" s="45"/>
      <c r="CC55" s="45"/>
      <c r="CD55" s="45"/>
      <c r="CE55" s="45"/>
      <c r="CF55" s="45"/>
      <c r="CG55" s="45"/>
      <c r="CH55" s="45"/>
      <c r="CI55" s="45"/>
      <c r="CJ55" s="25"/>
    </row>
    <row r="56" spans="31:88" ht="15" customHeight="1"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  <c r="BP56" s="45"/>
      <c r="BQ56" s="45"/>
      <c r="BR56" s="45"/>
      <c r="BS56" s="45"/>
      <c r="BT56" s="45"/>
      <c r="BU56" s="45"/>
      <c r="BV56" s="45"/>
      <c r="BW56" s="45"/>
      <c r="BX56" s="45"/>
      <c r="BY56" s="45"/>
      <c r="BZ56" s="45"/>
      <c r="CA56" s="45"/>
      <c r="CB56" s="45"/>
      <c r="CC56" s="45"/>
      <c r="CD56" s="45"/>
      <c r="CE56" s="45"/>
      <c r="CF56" s="45"/>
      <c r="CG56" s="45"/>
      <c r="CH56" s="45"/>
      <c r="CI56" s="45"/>
      <c r="CJ56" s="25"/>
    </row>
    <row r="57" spans="31:88" ht="15" customHeight="1"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/>
      <c r="BV57" s="32"/>
      <c r="BW57" s="32"/>
      <c r="BX57" s="32"/>
      <c r="BY57" s="32"/>
      <c r="BZ57" s="32"/>
      <c r="CA57" s="32"/>
      <c r="CB57" s="32"/>
      <c r="CC57" s="32"/>
      <c r="CD57" s="32"/>
      <c r="CE57" s="32"/>
      <c r="CF57" s="32"/>
      <c r="CG57" s="32"/>
      <c r="CH57" s="32"/>
      <c r="CI57" s="32"/>
      <c r="CJ57" s="25"/>
    </row>
    <row r="58" spans="31:88" ht="15" customHeight="1"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7"/>
      <c r="AY58" s="47"/>
      <c r="AZ58" s="47"/>
      <c r="BA58" s="47"/>
      <c r="BB58" s="47"/>
      <c r="BC58" s="47"/>
      <c r="BD58" s="47"/>
      <c r="BE58" s="47"/>
      <c r="BF58" s="47"/>
      <c r="BG58" s="47"/>
      <c r="BH58" s="47"/>
      <c r="BI58" s="47"/>
      <c r="BJ58" s="47"/>
      <c r="BK58" s="47"/>
      <c r="BL58" s="47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7"/>
      <c r="CA58" s="47"/>
      <c r="CB58" s="47"/>
      <c r="CC58" s="47"/>
      <c r="CD58" s="47"/>
      <c r="CE58" s="47"/>
      <c r="CF58" s="47"/>
      <c r="CG58" s="47"/>
      <c r="CH58" s="47"/>
      <c r="CI58" s="47"/>
      <c r="CJ58" s="25"/>
    </row>
    <row r="59" spans="31:88" ht="15" customHeight="1"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3"/>
      <c r="BK59" s="43"/>
      <c r="BL59" s="43"/>
      <c r="BM59" s="43"/>
      <c r="BN59" s="43"/>
      <c r="BO59" s="43"/>
      <c r="BP59" s="43"/>
      <c r="BQ59" s="43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25"/>
    </row>
    <row r="60" spans="31:88" ht="15" customHeight="1"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  <c r="BF60" s="45"/>
      <c r="BG60" s="45"/>
      <c r="BH60" s="45"/>
      <c r="BI60" s="45"/>
      <c r="BJ60" s="45"/>
      <c r="BK60" s="45"/>
      <c r="BL60" s="45"/>
      <c r="BM60" s="45"/>
      <c r="BN60" s="45"/>
      <c r="BO60" s="45"/>
      <c r="BP60" s="45"/>
      <c r="BQ60" s="45"/>
      <c r="BR60" s="45"/>
      <c r="BS60" s="45"/>
      <c r="BT60" s="45"/>
      <c r="BU60" s="45"/>
      <c r="BV60" s="45"/>
      <c r="BW60" s="45"/>
      <c r="BX60" s="45"/>
      <c r="BY60" s="45"/>
      <c r="BZ60" s="45"/>
      <c r="CA60" s="45"/>
      <c r="CB60" s="45"/>
      <c r="CC60" s="45"/>
      <c r="CD60" s="45"/>
      <c r="CE60" s="45"/>
      <c r="CF60" s="45"/>
      <c r="CG60" s="45"/>
      <c r="CH60" s="45"/>
      <c r="CI60" s="45"/>
      <c r="CJ60" s="25"/>
    </row>
    <row r="61" spans="31:88" ht="15" customHeight="1"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  <c r="BK61" s="45"/>
      <c r="BL61" s="45"/>
      <c r="BM61" s="45"/>
      <c r="BN61" s="45"/>
      <c r="BO61" s="45"/>
      <c r="BP61" s="45"/>
      <c r="BQ61" s="45"/>
      <c r="BR61" s="45"/>
      <c r="BS61" s="45"/>
      <c r="BT61" s="45"/>
      <c r="BU61" s="45"/>
      <c r="BV61" s="45"/>
      <c r="BW61" s="45"/>
      <c r="BX61" s="45"/>
      <c r="BY61" s="45"/>
      <c r="BZ61" s="45"/>
      <c r="CA61" s="45"/>
      <c r="CB61" s="45"/>
      <c r="CC61" s="45"/>
      <c r="CD61" s="45"/>
      <c r="CE61" s="45"/>
      <c r="CF61" s="45"/>
      <c r="CG61" s="45"/>
      <c r="CH61" s="45"/>
      <c r="CI61" s="45"/>
      <c r="CJ61" s="25"/>
    </row>
    <row r="62" spans="31:88" ht="15" customHeight="1"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  <c r="BI62" s="45"/>
      <c r="BJ62" s="45"/>
      <c r="BK62" s="45"/>
      <c r="BL62" s="45"/>
      <c r="BM62" s="45"/>
      <c r="BN62" s="45"/>
      <c r="BO62" s="45"/>
      <c r="BP62" s="45"/>
      <c r="BQ62" s="45"/>
      <c r="BR62" s="45"/>
      <c r="BS62" s="45"/>
      <c r="BT62" s="45"/>
      <c r="BU62" s="45"/>
      <c r="BV62" s="45"/>
      <c r="BW62" s="45"/>
      <c r="BX62" s="45"/>
      <c r="BY62" s="45"/>
      <c r="BZ62" s="45"/>
      <c r="CA62" s="45"/>
      <c r="CB62" s="45"/>
      <c r="CC62" s="45"/>
      <c r="CD62" s="45"/>
      <c r="CE62" s="45"/>
      <c r="CF62" s="45"/>
      <c r="CG62" s="45"/>
      <c r="CH62" s="45"/>
      <c r="CI62" s="45"/>
      <c r="CJ62" s="25"/>
    </row>
    <row r="63" spans="31:88" ht="15" customHeight="1"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45"/>
      <c r="BL63" s="45"/>
      <c r="BM63" s="45"/>
      <c r="BN63" s="45"/>
      <c r="BO63" s="45"/>
      <c r="BP63" s="45"/>
      <c r="BQ63" s="45"/>
      <c r="BR63" s="45"/>
      <c r="BS63" s="45"/>
      <c r="BT63" s="45"/>
      <c r="BU63" s="45"/>
      <c r="BV63" s="45"/>
      <c r="BW63" s="45"/>
      <c r="BX63" s="45"/>
      <c r="BY63" s="45"/>
      <c r="BZ63" s="45"/>
      <c r="CA63" s="45"/>
      <c r="CB63" s="45"/>
      <c r="CC63" s="45"/>
      <c r="CD63" s="45"/>
      <c r="CE63" s="45"/>
      <c r="CF63" s="45"/>
      <c r="CG63" s="45"/>
      <c r="CH63" s="45"/>
      <c r="CI63" s="45"/>
      <c r="CJ63" s="25"/>
    </row>
    <row r="64" spans="31:88" ht="15" customHeight="1"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5"/>
      <c r="BY64" s="45"/>
      <c r="BZ64" s="45"/>
      <c r="CA64" s="45"/>
      <c r="CB64" s="45"/>
      <c r="CC64" s="45"/>
      <c r="CD64" s="45"/>
      <c r="CE64" s="45"/>
      <c r="CF64" s="45"/>
      <c r="CG64" s="45"/>
      <c r="CH64" s="45"/>
      <c r="CI64" s="45"/>
      <c r="CJ64" s="25"/>
    </row>
    <row r="65" spans="31:88" ht="15" customHeight="1"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5"/>
      <c r="BJ65" s="45"/>
      <c r="BK65" s="45"/>
      <c r="BL65" s="45"/>
      <c r="BM65" s="45"/>
      <c r="BN65" s="45"/>
      <c r="BO65" s="45"/>
      <c r="BP65" s="45"/>
      <c r="BQ65" s="45"/>
      <c r="BR65" s="45"/>
      <c r="BS65" s="45"/>
      <c r="BT65" s="45"/>
      <c r="BU65" s="45"/>
      <c r="BV65" s="45"/>
      <c r="BW65" s="45"/>
      <c r="BX65" s="45"/>
      <c r="BY65" s="45"/>
      <c r="BZ65" s="45"/>
      <c r="CA65" s="45"/>
      <c r="CB65" s="45"/>
      <c r="CC65" s="45"/>
      <c r="CD65" s="45"/>
      <c r="CE65" s="45"/>
      <c r="CF65" s="45"/>
      <c r="CG65" s="45"/>
      <c r="CH65" s="45"/>
      <c r="CI65" s="45"/>
      <c r="CJ65" s="25"/>
    </row>
    <row r="66" spans="31:88" ht="15" customHeight="1"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45"/>
      <c r="BI66" s="45"/>
      <c r="BJ66" s="45"/>
      <c r="BK66" s="45"/>
      <c r="BL66" s="45"/>
      <c r="BM66" s="45"/>
      <c r="BN66" s="45"/>
      <c r="BO66" s="45"/>
      <c r="BP66" s="45"/>
      <c r="BQ66" s="45"/>
      <c r="BR66" s="45"/>
      <c r="BS66" s="45"/>
      <c r="BT66" s="45"/>
      <c r="BU66" s="45"/>
      <c r="BV66" s="45"/>
      <c r="BW66" s="45"/>
      <c r="BX66" s="45"/>
      <c r="BY66" s="45"/>
      <c r="BZ66" s="45"/>
      <c r="CA66" s="45"/>
      <c r="CB66" s="45"/>
      <c r="CC66" s="45"/>
      <c r="CD66" s="45"/>
      <c r="CE66" s="45"/>
      <c r="CF66" s="45"/>
      <c r="CG66" s="45"/>
      <c r="CH66" s="45"/>
      <c r="CI66" s="45"/>
      <c r="CJ66" s="25"/>
    </row>
    <row r="67" spans="31:88" ht="15" customHeight="1"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  <c r="BM67" s="45"/>
      <c r="BN67" s="45"/>
      <c r="BO67" s="45"/>
      <c r="BP67" s="45"/>
      <c r="BQ67" s="45"/>
      <c r="BR67" s="45"/>
      <c r="BS67" s="45"/>
      <c r="BT67" s="45"/>
      <c r="BU67" s="45"/>
      <c r="BV67" s="45"/>
      <c r="BW67" s="45"/>
      <c r="BX67" s="45"/>
      <c r="BY67" s="45"/>
      <c r="BZ67" s="45"/>
      <c r="CA67" s="45"/>
      <c r="CB67" s="45"/>
      <c r="CC67" s="45"/>
      <c r="CD67" s="45"/>
      <c r="CE67" s="45"/>
      <c r="CF67" s="45"/>
      <c r="CG67" s="45"/>
      <c r="CH67" s="45"/>
      <c r="CI67" s="45"/>
      <c r="CJ67" s="25"/>
    </row>
    <row r="68" spans="2:88" s="2" customFormat="1" ht="15" customHeight="1">
      <c r="B68" s="88"/>
      <c r="C68" s="88"/>
      <c r="D68"/>
      <c r="E68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7"/>
      <c r="BS68" s="37"/>
      <c r="BT68" s="37"/>
      <c r="BU68" s="37"/>
      <c r="BV68" s="37"/>
      <c r="BW68" s="37"/>
      <c r="BX68" s="37"/>
      <c r="BY68" s="37"/>
      <c r="BZ68" s="37"/>
      <c r="CA68" s="37"/>
      <c r="CB68" s="37"/>
      <c r="CC68" s="37"/>
      <c r="CD68" s="37"/>
      <c r="CE68" s="37"/>
      <c r="CF68" s="37"/>
      <c r="CG68" s="37"/>
      <c r="CH68" s="37"/>
      <c r="CI68" s="37"/>
      <c r="CJ68" s="51"/>
    </row>
    <row r="69" spans="2:88" s="2" customFormat="1" ht="15" customHeight="1">
      <c r="B69" s="88"/>
      <c r="C69" s="88"/>
      <c r="D69"/>
      <c r="E69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6"/>
      <c r="BM69" s="36"/>
      <c r="BN69" s="36"/>
      <c r="BO69" s="36"/>
      <c r="BP69" s="36"/>
      <c r="BQ69" s="36"/>
      <c r="BR69" s="37"/>
      <c r="BS69" s="37"/>
      <c r="BT69" s="37"/>
      <c r="BU69" s="37"/>
      <c r="BV69" s="37"/>
      <c r="BW69" s="37"/>
      <c r="BX69" s="37"/>
      <c r="BY69" s="37"/>
      <c r="BZ69" s="37"/>
      <c r="CA69" s="37"/>
      <c r="CB69" s="37"/>
      <c r="CC69" s="37"/>
      <c r="CD69" s="37"/>
      <c r="CE69" s="37"/>
      <c r="CF69" s="37"/>
      <c r="CG69" s="37"/>
      <c r="CH69" s="37"/>
      <c r="CI69" s="37"/>
      <c r="CJ69" s="51"/>
    </row>
    <row r="70" spans="2:88" s="2" customFormat="1" ht="15" customHeight="1">
      <c r="B70" s="88"/>
      <c r="C70" s="88"/>
      <c r="D70"/>
      <c r="E70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9"/>
      <c r="BE70" s="39"/>
      <c r="BF70" s="36"/>
      <c r="BG70" s="36"/>
      <c r="BH70" s="36"/>
      <c r="BI70" s="36"/>
      <c r="BJ70" s="36"/>
      <c r="BK70" s="36"/>
      <c r="BL70" s="39"/>
      <c r="BM70" s="39"/>
      <c r="BN70" s="36"/>
      <c r="BO70" s="36"/>
      <c r="BP70" s="36"/>
      <c r="BQ70" s="36"/>
      <c r="BR70" s="37"/>
      <c r="BS70" s="37"/>
      <c r="BT70" s="37"/>
      <c r="BU70" s="37"/>
      <c r="BV70" s="37"/>
      <c r="BW70" s="37"/>
      <c r="BX70" s="37"/>
      <c r="BY70" s="37"/>
      <c r="BZ70" s="37"/>
      <c r="CA70" s="37"/>
      <c r="CB70" s="37"/>
      <c r="CC70" s="37"/>
      <c r="CD70" s="37"/>
      <c r="CE70" s="37"/>
      <c r="CF70" s="37"/>
      <c r="CG70" s="37"/>
      <c r="CH70" s="37"/>
      <c r="CI70" s="37"/>
      <c r="CJ70" s="51"/>
    </row>
    <row r="71" spans="31:88" ht="15" customHeight="1"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25"/>
    </row>
    <row r="72" spans="4:88" ht="15" customHeight="1">
      <c r="D72" s="2"/>
      <c r="E72" s="2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25"/>
    </row>
    <row r="73" spans="4:88" ht="15" customHeight="1">
      <c r="D73" s="2"/>
      <c r="E73" s="2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25"/>
    </row>
    <row r="74" spans="4:88" ht="15" customHeight="1">
      <c r="D74" s="2"/>
      <c r="E74" s="2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25"/>
    </row>
    <row r="75" spans="31:88" ht="15" customHeight="1"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25"/>
    </row>
    <row r="76" spans="31:88" ht="15" customHeight="1"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25"/>
    </row>
    <row r="77" spans="31:88" ht="15" customHeight="1"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25"/>
    </row>
    <row r="78" spans="31:88" ht="15" customHeight="1"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25"/>
    </row>
    <row r="79" spans="31:88" ht="15" customHeight="1"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25"/>
    </row>
    <row r="80" spans="31:88" ht="15" customHeight="1"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25"/>
    </row>
    <row r="81" spans="31:88" ht="15" customHeight="1"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25"/>
    </row>
    <row r="82" spans="31:88" ht="15" customHeight="1"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25"/>
    </row>
    <row r="83" spans="31:88" ht="15" customHeight="1"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25"/>
    </row>
    <row r="84" spans="31:88" ht="15" customHeight="1"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25"/>
    </row>
    <row r="85" spans="31:88" ht="15" customHeight="1"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25"/>
    </row>
    <row r="86" spans="31:88" ht="15" customHeight="1"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1"/>
      <c r="BF86" s="41"/>
      <c r="BG86" s="41"/>
      <c r="BH86" s="41"/>
      <c r="BI86" s="41"/>
      <c r="BJ86" s="41"/>
      <c r="BK86" s="41"/>
      <c r="BL86" s="41"/>
      <c r="BM86" s="41"/>
      <c r="BN86" s="41"/>
      <c r="BO86" s="41"/>
      <c r="BP86" s="41"/>
      <c r="BQ86" s="41"/>
      <c r="BR86" s="41"/>
      <c r="BS86" s="41"/>
      <c r="BT86" s="41"/>
      <c r="BU86" s="41"/>
      <c r="BV86" s="41"/>
      <c r="BW86" s="41"/>
      <c r="BX86" s="41"/>
      <c r="BY86" s="41"/>
      <c r="BZ86" s="41"/>
      <c r="CA86" s="41"/>
      <c r="CB86" s="41"/>
      <c r="CC86" s="41"/>
      <c r="CD86" s="41"/>
      <c r="CE86" s="41"/>
      <c r="CF86" s="41"/>
      <c r="CG86" s="41"/>
      <c r="CH86" s="41"/>
      <c r="CI86" s="41"/>
      <c r="CJ86" s="25"/>
    </row>
    <row r="87" spans="31:88" ht="15" customHeight="1"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/>
      <c r="BD87" s="41"/>
      <c r="BE87" s="41"/>
      <c r="BF87" s="41"/>
      <c r="BG87" s="41"/>
      <c r="BH87" s="41"/>
      <c r="BI87" s="41"/>
      <c r="BJ87" s="41"/>
      <c r="BK87" s="41"/>
      <c r="BL87" s="41"/>
      <c r="BM87" s="41"/>
      <c r="BN87" s="41"/>
      <c r="BO87" s="41"/>
      <c r="BP87" s="41"/>
      <c r="BQ87" s="41"/>
      <c r="BR87" s="41"/>
      <c r="BS87" s="41"/>
      <c r="BT87" s="41"/>
      <c r="BU87" s="41"/>
      <c r="BV87" s="41"/>
      <c r="BW87" s="41"/>
      <c r="BX87" s="41"/>
      <c r="BY87" s="41"/>
      <c r="BZ87" s="41"/>
      <c r="CA87" s="41"/>
      <c r="CB87" s="41"/>
      <c r="CC87" s="41"/>
      <c r="CD87" s="41"/>
      <c r="CE87" s="41"/>
      <c r="CF87" s="41"/>
      <c r="CG87" s="41"/>
      <c r="CH87" s="41"/>
      <c r="CI87" s="41"/>
      <c r="CJ87" s="25"/>
    </row>
    <row r="88" spans="31:88" ht="15" customHeight="1"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25"/>
    </row>
    <row r="89" spans="31:88" ht="15" customHeight="1"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25"/>
    </row>
    <row r="90" spans="31:88" ht="15" customHeight="1"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25"/>
    </row>
    <row r="91" spans="31:88" ht="15" customHeight="1"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1"/>
      <c r="AS91" s="41"/>
      <c r="AT91" s="41"/>
      <c r="AU91" s="41"/>
      <c r="AV91" s="41"/>
      <c r="AW91" s="41"/>
      <c r="AX91" s="41"/>
      <c r="AY91" s="41"/>
      <c r="AZ91" s="41"/>
      <c r="BA91" s="41"/>
      <c r="BB91" s="41"/>
      <c r="BC91" s="41"/>
      <c r="BD91" s="41"/>
      <c r="BE91" s="41"/>
      <c r="BF91" s="41"/>
      <c r="BG91" s="41"/>
      <c r="BH91" s="41"/>
      <c r="BI91" s="41"/>
      <c r="BJ91" s="41"/>
      <c r="BK91" s="41"/>
      <c r="BL91" s="41"/>
      <c r="BM91" s="41"/>
      <c r="BN91" s="41"/>
      <c r="BO91" s="41"/>
      <c r="BP91" s="41"/>
      <c r="BQ91" s="41"/>
      <c r="BR91" s="41"/>
      <c r="BS91" s="41"/>
      <c r="BT91" s="41"/>
      <c r="BU91" s="41"/>
      <c r="BV91" s="41"/>
      <c r="BW91" s="41"/>
      <c r="BX91" s="41"/>
      <c r="BY91" s="41"/>
      <c r="BZ91" s="41"/>
      <c r="CA91" s="41"/>
      <c r="CB91" s="41"/>
      <c r="CC91" s="41"/>
      <c r="CD91" s="41"/>
      <c r="CE91" s="41"/>
      <c r="CF91" s="41"/>
      <c r="CG91" s="41"/>
      <c r="CH91" s="41"/>
      <c r="CI91" s="41"/>
      <c r="CJ91" s="25"/>
    </row>
    <row r="92" spans="31:88" ht="15" customHeight="1"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25"/>
    </row>
    <row r="93" spans="31:88" ht="15" customHeight="1"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25"/>
    </row>
    <row r="94" spans="31:88" ht="15" customHeight="1"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25"/>
    </row>
    <row r="95" spans="31:88" ht="15" customHeight="1"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25"/>
    </row>
    <row r="96" spans="31:88" ht="15" customHeight="1"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25"/>
    </row>
    <row r="97" spans="31:88" ht="15" customHeight="1"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43"/>
      <c r="BE97" s="43"/>
      <c r="BF97" s="36"/>
      <c r="BG97" s="36"/>
      <c r="BH97" s="36"/>
      <c r="BI97" s="36"/>
      <c r="BJ97" s="36"/>
      <c r="BK97" s="36"/>
      <c r="BL97" s="43"/>
      <c r="BM97" s="43"/>
      <c r="BN97" s="36"/>
      <c r="BO97" s="36"/>
      <c r="BP97" s="36"/>
      <c r="BQ97" s="36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25"/>
    </row>
    <row r="98" spans="31:88" ht="15" customHeight="1"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6"/>
      <c r="AY98" s="36"/>
      <c r="AZ98" s="36"/>
      <c r="BA98" s="36"/>
      <c r="BB98" s="36"/>
      <c r="BC98" s="36"/>
      <c r="BD98" s="43"/>
      <c r="BE98" s="43"/>
      <c r="BF98" s="36"/>
      <c r="BG98" s="36"/>
      <c r="BH98" s="36"/>
      <c r="BI98" s="36"/>
      <c r="BJ98" s="36"/>
      <c r="BK98" s="36"/>
      <c r="BL98" s="43"/>
      <c r="BM98" s="43"/>
      <c r="BN98" s="36"/>
      <c r="BO98" s="36"/>
      <c r="BP98" s="36"/>
      <c r="BQ98" s="36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25"/>
    </row>
    <row r="99" spans="31:88" ht="15" customHeight="1">
      <c r="AE99" s="50"/>
      <c r="AF99" s="44"/>
      <c r="AG99" s="50"/>
      <c r="AH99" s="44"/>
      <c r="AI99" s="50"/>
      <c r="AJ99" s="44"/>
      <c r="AK99" s="50"/>
      <c r="AL99" s="44"/>
      <c r="AM99" s="50"/>
      <c r="AN99" s="44"/>
      <c r="AO99" s="50"/>
      <c r="AP99" s="44"/>
      <c r="AQ99" s="50"/>
      <c r="AR99" s="44"/>
      <c r="AS99" s="50"/>
      <c r="AT99" s="44"/>
      <c r="AU99" s="50"/>
      <c r="AV99" s="44"/>
      <c r="AW99" s="50"/>
      <c r="AX99" s="44"/>
      <c r="AY99" s="50"/>
      <c r="AZ99" s="44"/>
      <c r="BA99" s="50"/>
      <c r="BB99" s="44"/>
      <c r="BC99" s="50"/>
      <c r="BD99" s="44"/>
      <c r="BE99" s="50"/>
      <c r="BF99" s="44"/>
      <c r="BG99" s="50"/>
      <c r="BH99" s="44"/>
      <c r="BI99" s="50"/>
      <c r="BJ99" s="44"/>
      <c r="BK99" s="50"/>
      <c r="BL99" s="44"/>
      <c r="BM99" s="50"/>
      <c r="BN99" s="44"/>
      <c r="BO99" s="50"/>
      <c r="BP99" s="44"/>
      <c r="BQ99" s="50"/>
      <c r="BR99" s="44"/>
      <c r="BS99" s="50"/>
      <c r="BT99" s="44"/>
      <c r="BU99" s="50"/>
      <c r="BV99" s="44"/>
      <c r="BW99" s="50"/>
      <c r="BX99" s="44"/>
      <c r="BY99" s="50"/>
      <c r="BZ99" s="44"/>
      <c r="CA99" s="50"/>
      <c r="CB99" s="44"/>
      <c r="CC99" s="50"/>
      <c r="CD99" s="44"/>
      <c r="CE99" s="50"/>
      <c r="CF99" s="44"/>
      <c r="CG99" s="50"/>
      <c r="CH99" s="44"/>
      <c r="CI99" s="50"/>
      <c r="CJ99" s="44"/>
    </row>
    <row r="100" spans="31:88" ht="15" customHeight="1">
      <c r="AE100" s="50"/>
      <c r="AF100" s="44"/>
      <c r="AG100" s="50"/>
      <c r="AH100" s="44"/>
      <c r="AI100" s="50"/>
      <c r="AJ100" s="44"/>
      <c r="AK100" s="50"/>
      <c r="AL100" s="44"/>
      <c r="AM100" s="50"/>
      <c r="AN100" s="44"/>
      <c r="AO100" s="50"/>
      <c r="AP100" s="44"/>
      <c r="AQ100" s="50"/>
      <c r="AR100" s="44"/>
      <c r="AS100" s="50"/>
      <c r="AT100" s="44"/>
      <c r="AU100" s="50"/>
      <c r="AV100" s="44"/>
      <c r="AW100" s="50"/>
      <c r="AX100" s="44"/>
      <c r="AY100" s="50"/>
      <c r="AZ100" s="44"/>
      <c r="BA100" s="50"/>
      <c r="BB100" s="44"/>
      <c r="BC100" s="50"/>
      <c r="BD100" s="44"/>
      <c r="BE100" s="50"/>
      <c r="BF100" s="44"/>
      <c r="BG100" s="50"/>
      <c r="BH100" s="44"/>
      <c r="BI100" s="50"/>
      <c r="BJ100" s="44"/>
      <c r="BK100" s="50"/>
      <c r="BL100" s="44"/>
      <c r="BM100" s="50"/>
      <c r="BN100" s="44"/>
      <c r="BO100" s="50"/>
      <c r="BP100" s="44"/>
      <c r="BQ100" s="50"/>
      <c r="BR100" s="44"/>
      <c r="BS100" s="50"/>
      <c r="BT100" s="44"/>
      <c r="BU100" s="50"/>
      <c r="BV100" s="44"/>
      <c r="BW100" s="50"/>
      <c r="BX100" s="44"/>
      <c r="BY100" s="50"/>
      <c r="BZ100" s="44"/>
      <c r="CA100" s="50"/>
      <c r="CB100" s="44"/>
      <c r="CC100" s="50"/>
      <c r="CD100" s="44"/>
      <c r="CE100" s="50"/>
      <c r="CF100" s="44"/>
      <c r="CG100" s="50"/>
      <c r="CH100" s="44"/>
      <c r="CI100" s="50"/>
      <c r="CJ100" s="44"/>
    </row>
    <row r="101" spans="31:88" ht="15" customHeight="1">
      <c r="AE101" s="50"/>
      <c r="AF101" s="44"/>
      <c r="AG101" s="50"/>
      <c r="AH101" s="44"/>
      <c r="AI101" s="50"/>
      <c r="AJ101" s="44"/>
      <c r="AK101" s="50"/>
      <c r="AL101" s="44"/>
      <c r="AM101" s="50"/>
      <c r="AN101" s="44"/>
      <c r="AO101" s="50"/>
      <c r="AP101" s="44"/>
      <c r="AQ101" s="50"/>
      <c r="AR101" s="44"/>
      <c r="AS101" s="50"/>
      <c r="AT101" s="44"/>
      <c r="AU101" s="50"/>
      <c r="AV101" s="44"/>
      <c r="AW101" s="50"/>
      <c r="AX101" s="44"/>
      <c r="AY101" s="50"/>
      <c r="AZ101" s="44"/>
      <c r="BA101" s="50"/>
      <c r="BB101" s="44"/>
      <c r="BC101" s="50"/>
      <c r="BD101" s="44"/>
      <c r="BE101" s="50"/>
      <c r="BF101" s="44"/>
      <c r="BG101" s="50"/>
      <c r="BH101" s="44"/>
      <c r="BI101" s="50"/>
      <c r="BJ101" s="44"/>
      <c r="BK101" s="50"/>
      <c r="BL101" s="44"/>
      <c r="BM101" s="50"/>
      <c r="BN101" s="44"/>
      <c r="BO101" s="50"/>
      <c r="BP101" s="44"/>
      <c r="BQ101" s="50"/>
      <c r="BR101" s="44"/>
      <c r="BS101" s="50"/>
      <c r="BT101" s="44"/>
      <c r="BU101" s="50"/>
      <c r="BV101" s="44"/>
      <c r="BW101" s="50"/>
      <c r="BX101" s="44"/>
      <c r="BY101" s="50"/>
      <c r="BZ101" s="44"/>
      <c r="CA101" s="50"/>
      <c r="CB101" s="44"/>
      <c r="CC101" s="50"/>
      <c r="CD101" s="44"/>
      <c r="CE101" s="50"/>
      <c r="CF101" s="44"/>
      <c r="CG101" s="50"/>
      <c r="CH101" s="44"/>
      <c r="CI101" s="50"/>
      <c r="CJ101" s="44"/>
    </row>
    <row r="102" spans="31:88" ht="15" customHeight="1">
      <c r="AE102" s="50"/>
      <c r="AF102" s="44"/>
      <c r="AG102" s="50"/>
      <c r="AH102" s="44"/>
      <c r="AI102" s="50"/>
      <c r="AJ102" s="44"/>
      <c r="AK102" s="50"/>
      <c r="AL102" s="44"/>
      <c r="AM102" s="50"/>
      <c r="AN102" s="44"/>
      <c r="AO102" s="50"/>
      <c r="AP102" s="44"/>
      <c r="AQ102" s="50"/>
      <c r="AR102" s="44"/>
      <c r="AS102" s="50"/>
      <c r="AT102" s="44"/>
      <c r="AU102" s="50"/>
      <c r="AV102" s="44"/>
      <c r="AW102" s="50"/>
      <c r="AX102" s="44"/>
      <c r="AY102" s="50"/>
      <c r="AZ102" s="44"/>
      <c r="BA102" s="50"/>
      <c r="BB102" s="44"/>
      <c r="BC102" s="50"/>
      <c r="BD102" s="44"/>
      <c r="BE102" s="50"/>
      <c r="BF102" s="44"/>
      <c r="BG102" s="50"/>
      <c r="BH102" s="44"/>
      <c r="BI102" s="50"/>
      <c r="BJ102" s="44"/>
      <c r="BK102" s="50"/>
      <c r="BL102" s="44"/>
      <c r="BM102" s="50"/>
      <c r="BN102" s="44"/>
      <c r="BO102" s="50"/>
      <c r="BP102" s="44"/>
      <c r="BQ102" s="50"/>
      <c r="BR102" s="44"/>
      <c r="BS102" s="50"/>
      <c r="BT102" s="44"/>
      <c r="BU102" s="50"/>
      <c r="BV102" s="44"/>
      <c r="BW102" s="50"/>
      <c r="BX102" s="44"/>
      <c r="BY102" s="50"/>
      <c r="BZ102" s="44"/>
      <c r="CA102" s="50"/>
      <c r="CB102" s="44"/>
      <c r="CC102" s="50"/>
      <c r="CD102" s="44"/>
      <c r="CE102" s="50"/>
      <c r="CF102" s="44"/>
      <c r="CG102" s="50"/>
      <c r="CH102" s="44"/>
      <c r="CI102" s="50"/>
      <c r="CJ102" s="44"/>
    </row>
    <row r="103" spans="31:88" ht="15" customHeight="1">
      <c r="AE103" s="44"/>
      <c r="AF103" s="44"/>
      <c r="AG103" s="44"/>
      <c r="AH103" s="44"/>
      <c r="AI103" s="44"/>
      <c r="AJ103" s="44"/>
      <c r="AK103" s="44"/>
      <c r="AL103" s="44"/>
      <c r="AM103" s="44"/>
      <c r="AN103" s="44"/>
      <c r="AO103" s="44"/>
      <c r="AP103" s="44"/>
      <c r="AQ103" s="44"/>
      <c r="AR103" s="44"/>
      <c r="AS103" s="44"/>
      <c r="AT103" s="44"/>
      <c r="AU103" s="44"/>
      <c r="AV103" s="44"/>
      <c r="AW103" s="44"/>
      <c r="AX103" s="44"/>
      <c r="AY103" s="44"/>
      <c r="AZ103" s="44"/>
      <c r="BA103" s="44"/>
      <c r="BB103" s="44"/>
      <c r="BC103" s="44"/>
      <c r="BD103" s="44"/>
      <c r="BE103" s="44"/>
      <c r="BF103" s="44"/>
      <c r="BG103" s="44"/>
      <c r="BH103" s="44"/>
      <c r="BI103" s="44"/>
      <c r="BJ103" s="44"/>
      <c r="BK103" s="44"/>
      <c r="BL103" s="44"/>
      <c r="BM103" s="44"/>
      <c r="BN103" s="44"/>
      <c r="BO103" s="44"/>
      <c r="BP103" s="44"/>
      <c r="BQ103" s="44"/>
      <c r="BR103" s="44"/>
      <c r="BS103" s="44"/>
      <c r="BT103" s="44"/>
      <c r="BU103" s="44"/>
      <c r="BV103" s="44"/>
      <c r="BW103" s="44"/>
      <c r="BX103" s="44"/>
      <c r="BY103" s="44"/>
      <c r="BZ103" s="44"/>
      <c r="CA103" s="44"/>
      <c r="CB103" s="44"/>
      <c r="CC103" s="44"/>
      <c r="CD103" s="44"/>
      <c r="CE103" s="44"/>
      <c r="CF103" s="44"/>
      <c r="CG103" s="44"/>
      <c r="CH103" s="44"/>
      <c r="CI103" s="44"/>
      <c r="CJ103" s="44"/>
    </row>
    <row r="104" spans="31:88" ht="15" customHeight="1">
      <c r="AE104" s="44"/>
      <c r="AF104" s="44"/>
      <c r="AG104" s="44"/>
      <c r="AH104" s="44"/>
      <c r="AI104" s="44"/>
      <c r="AJ104" s="44"/>
      <c r="AK104" s="44"/>
      <c r="AL104" s="44"/>
      <c r="AM104" s="44"/>
      <c r="AN104" s="44"/>
      <c r="AO104" s="44"/>
      <c r="AP104" s="44"/>
      <c r="AQ104" s="44"/>
      <c r="AR104" s="44"/>
      <c r="AS104" s="44"/>
      <c r="AT104" s="44"/>
      <c r="AU104" s="44"/>
      <c r="AV104" s="44"/>
      <c r="AW104" s="44"/>
      <c r="AX104" s="44"/>
      <c r="AY104" s="44"/>
      <c r="AZ104" s="44"/>
      <c r="BA104" s="44"/>
      <c r="BB104" s="44"/>
      <c r="BC104" s="44"/>
      <c r="BD104" s="44"/>
      <c r="BE104" s="44"/>
      <c r="BF104" s="44"/>
      <c r="BG104" s="44"/>
      <c r="BH104" s="44"/>
      <c r="BI104" s="44"/>
      <c r="BJ104" s="44"/>
      <c r="BK104" s="44"/>
      <c r="BL104" s="44"/>
      <c r="BM104" s="44"/>
      <c r="BN104" s="44"/>
      <c r="BO104" s="44"/>
      <c r="BP104" s="44"/>
      <c r="BQ104" s="44"/>
      <c r="BR104" s="44"/>
      <c r="BS104" s="44"/>
      <c r="BT104" s="44"/>
      <c r="BU104" s="44"/>
      <c r="BV104" s="44"/>
      <c r="BW104" s="44"/>
      <c r="BX104" s="44"/>
      <c r="BY104" s="44"/>
      <c r="BZ104" s="44"/>
      <c r="CA104" s="44"/>
      <c r="CB104" s="44"/>
      <c r="CC104" s="44"/>
      <c r="CD104" s="44"/>
      <c r="CE104" s="44"/>
      <c r="CF104" s="44"/>
      <c r="CG104" s="44"/>
      <c r="CH104" s="44"/>
      <c r="CI104" s="44"/>
      <c r="CJ104" s="44"/>
    </row>
    <row r="105" spans="31:88" ht="15" customHeight="1">
      <c r="AE105" s="44"/>
      <c r="AF105" s="44"/>
      <c r="AG105" s="44"/>
      <c r="AH105" s="44"/>
      <c r="AI105" s="44"/>
      <c r="AJ105" s="44"/>
      <c r="AK105" s="44"/>
      <c r="AL105" s="44"/>
      <c r="AM105" s="44"/>
      <c r="AN105" s="44"/>
      <c r="AO105" s="44"/>
      <c r="AP105" s="44"/>
      <c r="AQ105" s="44"/>
      <c r="AR105" s="44"/>
      <c r="AS105" s="44"/>
      <c r="AT105" s="44"/>
      <c r="AU105" s="44"/>
      <c r="AV105" s="44"/>
      <c r="AW105" s="44"/>
      <c r="AX105" s="44"/>
      <c r="AY105" s="44"/>
      <c r="AZ105" s="44"/>
      <c r="BA105" s="44"/>
      <c r="BB105" s="44"/>
      <c r="BC105" s="44"/>
      <c r="BD105" s="44"/>
      <c r="BE105" s="44"/>
      <c r="BF105" s="44"/>
      <c r="BG105" s="44"/>
      <c r="BH105" s="44"/>
      <c r="BI105" s="44"/>
      <c r="BJ105" s="44"/>
      <c r="BK105" s="44"/>
      <c r="BL105" s="44"/>
      <c r="BM105" s="44"/>
      <c r="BN105" s="44"/>
      <c r="BO105" s="44"/>
      <c r="BP105" s="44"/>
      <c r="BQ105" s="44"/>
      <c r="BR105" s="44"/>
      <c r="BS105" s="44"/>
      <c r="BT105" s="44"/>
      <c r="BU105" s="44"/>
      <c r="BV105" s="44"/>
      <c r="BW105" s="44"/>
      <c r="BX105" s="44"/>
      <c r="BY105" s="44"/>
      <c r="BZ105" s="44"/>
      <c r="CA105" s="44"/>
      <c r="CB105" s="44"/>
      <c r="CC105" s="44"/>
      <c r="CD105" s="44"/>
      <c r="CE105" s="44"/>
      <c r="CF105" s="44"/>
      <c r="CG105" s="44"/>
      <c r="CH105" s="44"/>
      <c r="CI105" s="44"/>
      <c r="CJ105" s="44"/>
    </row>
    <row r="106" spans="31:88" ht="15" customHeight="1">
      <c r="AE106" s="44"/>
      <c r="AF106" s="44"/>
      <c r="AG106" s="44"/>
      <c r="AH106" s="44"/>
      <c r="AI106" s="44"/>
      <c r="AJ106" s="44"/>
      <c r="AK106" s="44"/>
      <c r="AL106" s="44"/>
      <c r="AM106" s="44"/>
      <c r="AN106" s="44"/>
      <c r="AO106" s="44"/>
      <c r="AP106" s="44"/>
      <c r="AQ106" s="44"/>
      <c r="AR106" s="44"/>
      <c r="AS106" s="44"/>
      <c r="AT106" s="44"/>
      <c r="AU106" s="44"/>
      <c r="AV106" s="44"/>
      <c r="AW106" s="44"/>
      <c r="AX106" s="44"/>
      <c r="AY106" s="44"/>
      <c r="AZ106" s="44"/>
      <c r="BA106" s="44"/>
      <c r="BB106" s="44"/>
      <c r="BC106" s="44"/>
      <c r="BD106" s="44"/>
      <c r="BE106" s="44"/>
      <c r="BF106" s="44"/>
      <c r="BG106" s="44"/>
      <c r="BH106" s="44"/>
      <c r="BI106" s="44"/>
      <c r="BJ106" s="44"/>
      <c r="BK106" s="44"/>
      <c r="BL106" s="44"/>
      <c r="BM106" s="44"/>
      <c r="BN106" s="44"/>
      <c r="BO106" s="44"/>
      <c r="BP106" s="44"/>
      <c r="BQ106" s="44"/>
      <c r="BR106" s="44"/>
      <c r="BS106" s="44"/>
      <c r="BT106" s="44"/>
      <c r="BU106" s="44"/>
      <c r="BV106" s="44"/>
      <c r="BW106" s="44"/>
      <c r="BX106" s="44"/>
      <c r="BY106" s="44"/>
      <c r="BZ106" s="44"/>
      <c r="CA106" s="44"/>
      <c r="CB106" s="44"/>
      <c r="CC106" s="44"/>
      <c r="CD106" s="44"/>
      <c r="CE106" s="44"/>
      <c r="CF106" s="44"/>
      <c r="CG106" s="44"/>
      <c r="CH106" s="44"/>
      <c r="CI106" s="44"/>
      <c r="CJ106" s="44"/>
    </row>
    <row r="107" spans="31:88" ht="15" customHeight="1"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  <c r="AO107" s="44"/>
      <c r="AP107" s="44"/>
      <c r="AQ107" s="44"/>
      <c r="AR107" s="44"/>
      <c r="AS107" s="44"/>
      <c r="AT107" s="44"/>
      <c r="AU107" s="44"/>
      <c r="AV107" s="44"/>
      <c r="AW107" s="44"/>
      <c r="AX107" s="44"/>
      <c r="AY107" s="44"/>
      <c r="AZ107" s="44"/>
      <c r="BA107" s="44"/>
      <c r="BB107" s="44"/>
      <c r="BC107" s="44"/>
      <c r="BD107" s="44"/>
      <c r="BE107" s="44"/>
      <c r="BF107" s="44"/>
      <c r="BG107" s="44"/>
      <c r="BH107" s="44"/>
      <c r="BI107" s="44"/>
      <c r="BJ107" s="44"/>
      <c r="BK107" s="44"/>
      <c r="BL107" s="44"/>
      <c r="BM107" s="44"/>
      <c r="BN107" s="44"/>
      <c r="BO107" s="44"/>
      <c r="BP107" s="44"/>
      <c r="BQ107" s="44"/>
      <c r="BR107" s="44"/>
      <c r="BS107" s="44"/>
      <c r="BT107" s="44"/>
      <c r="BU107" s="44"/>
      <c r="BV107" s="44"/>
      <c r="BW107" s="44"/>
      <c r="BX107" s="44"/>
      <c r="BY107" s="44"/>
      <c r="BZ107" s="44"/>
      <c r="CA107" s="44"/>
      <c r="CB107" s="44"/>
      <c r="CC107" s="44"/>
      <c r="CD107" s="44"/>
      <c r="CE107" s="44"/>
      <c r="CF107" s="44"/>
      <c r="CG107" s="44"/>
      <c r="CH107" s="44"/>
      <c r="CI107" s="44"/>
      <c r="CJ107" s="44"/>
    </row>
    <row r="108" spans="31:88" ht="15" customHeight="1">
      <c r="AE108" s="44"/>
      <c r="AF108" s="44"/>
      <c r="AG108" s="44"/>
      <c r="AH108" s="44"/>
      <c r="AI108" s="44"/>
      <c r="AJ108" s="44"/>
      <c r="AK108" s="44"/>
      <c r="AL108" s="44"/>
      <c r="AM108" s="44"/>
      <c r="AN108" s="44"/>
      <c r="AO108" s="44"/>
      <c r="AP108" s="44"/>
      <c r="AQ108" s="44"/>
      <c r="AR108" s="44"/>
      <c r="AS108" s="44"/>
      <c r="AT108" s="44"/>
      <c r="AU108" s="44"/>
      <c r="AV108" s="44"/>
      <c r="AW108" s="44"/>
      <c r="AX108" s="44"/>
      <c r="AY108" s="44"/>
      <c r="AZ108" s="44"/>
      <c r="BA108" s="44"/>
      <c r="BB108" s="44"/>
      <c r="BC108" s="44"/>
      <c r="BD108" s="44"/>
      <c r="BE108" s="44"/>
      <c r="BF108" s="44"/>
      <c r="BG108" s="44"/>
      <c r="BH108" s="44"/>
      <c r="BI108" s="44"/>
      <c r="BJ108" s="44"/>
      <c r="BK108" s="44"/>
      <c r="BL108" s="44"/>
      <c r="BM108" s="44"/>
      <c r="BN108" s="44"/>
      <c r="BO108" s="44"/>
      <c r="BP108" s="44"/>
      <c r="BQ108" s="44"/>
      <c r="BR108" s="44"/>
      <c r="BS108" s="44"/>
      <c r="BT108" s="44"/>
      <c r="BU108" s="44"/>
      <c r="BV108" s="44"/>
      <c r="BW108" s="44"/>
      <c r="BX108" s="44"/>
      <c r="BY108" s="44"/>
      <c r="BZ108" s="44"/>
      <c r="CA108" s="44"/>
      <c r="CB108" s="44"/>
      <c r="CC108" s="44"/>
      <c r="CD108" s="44"/>
      <c r="CE108" s="44"/>
      <c r="CF108" s="44"/>
      <c r="CG108" s="44"/>
      <c r="CH108" s="44"/>
      <c r="CI108" s="44"/>
      <c r="CJ108" s="44"/>
    </row>
    <row r="109" spans="31:88" ht="15" customHeight="1">
      <c r="AE109" s="44"/>
      <c r="AF109" s="44"/>
      <c r="AG109" s="44"/>
      <c r="AH109" s="44"/>
      <c r="AI109" s="44"/>
      <c r="AJ109" s="44"/>
      <c r="AK109" s="44"/>
      <c r="AL109" s="44"/>
      <c r="AM109" s="44"/>
      <c r="AN109" s="44"/>
      <c r="AO109" s="44"/>
      <c r="AP109" s="44"/>
      <c r="AQ109" s="44"/>
      <c r="AR109" s="44"/>
      <c r="AS109" s="44"/>
      <c r="AT109" s="44"/>
      <c r="AU109" s="44"/>
      <c r="AV109" s="44"/>
      <c r="AW109" s="44"/>
      <c r="AX109" s="44"/>
      <c r="AY109" s="44"/>
      <c r="AZ109" s="44"/>
      <c r="BA109" s="44"/>
      <c r="BB109" s="44"/>
      <c r="BC109" s="44"/>
      <c r="BD109" s="44"/>
      <c r="BE109" s="44"/>
      <c r="BF109" s="44"/>
      <c r="BG109" s="44"/>
      <c r="BH109" s="44"/>
      <c r="BI109" s="44"/>
      <c r="BJ109" s="44"/>
      <c r="BK109" s="44"/>
      <c r="BL109" s="44"/>
      <c r="BM109" s="44"/>
      <c r="BN109" s="44"/>
      <c r="BO109" s="44"/>
      <c r="BP109" s="44"/>
      <c r="BQ109" s="44"/>
      <c r="BR109" s="44"/>
      <c r="BS109" s="44"/>
      <c r="BT109" s="44"/>
      <c r="BU109" s="44"/>
      <c r="BV109" s="44"/>
      <c r="BW109" s="44"/>
      <c r="BX109" s="44"/>
      <c r="BY109" s="44"/>
      <c r="BZ109" s="44"/>
      <c r="CA109" s="44"/>
      <c r="CB109" s="44"/>
      <c r="CC109" s="44"/>
      <c r="CD109" s="44"/>
      <c r="CE109" s="44"/>
      <c r="CF109" s="44"/>
      <c r="CG109" s="44"/>
      <c r="CH109" s="44"/>
      <c r="CI109" s="44"/>
      <c r="CJ109" s="44"/>
    </row>
    <row r="110" spans="31:88" ht="15" customHeight="1">
      <c r="AE110" s="44"/>
      <c r="AF110" s="44"/>
      <c r="AG110" s="44"/>
      <c r="AH110" s="44"/>
      <c r="AI110" s="44"/>
      <c r="AJ110" s="44"/>
      <c r="AK110" s="44"/>
      <c r="AL110" s="44"/>
      <c r="AM110" s="44"/>
      <c r="AN110" s="44"/>
      <c r="AO110" s="44"/>
      <c r="AP110" s="44"/>
      <c r="AQ110" s="44"/>
      <c r="AR110" s="44"/>
      <c r="AS110" s="44"/>
      <c r="AT110" s="44"/>
      <c r="AU110" s="44"/>
      <c r="AV110" s="44"/>
      <c r="AW110" s="44"/>
      <c r="AX110" s="44"/>
      <c r="AY110" s="44"/>
      <c r="AZ110" s="44"/>
      <c r="BA110" s="44"/>
      <c r="BB110" s="44"/>
      <c r="BC110" s="44"/>
      <c r="BD110" s="44"/>
      <c r="BE110" s="44"/>
      <c r="BF110" s="44"/>
      <c r="BG110" s="44"/>
      <c r="BH110" s="44"/>
      <c r="BI110" s="44"/>
      <c r="BJ110" s="44"/>
      <c r="BK110" s="44"/>
      <c r="BL110" s="44"/>
      <c r="BM110" s="44"/>
      <c r="BN110" s="44"/>
      <c r="BO110" s="44"/>
      <c r="BP110" s="44"/>
      <c r="BQ110" s="44"/>
      <c r="BR110" s="44"/>
      <c r="BS110" s="44"/>
      <c r="BT110" s="44"/>
      <c r="BU110" s="44"/>
      <c r="BV110" s="44"/>
      <c r="BW110" s="44"/>
      <c r="BX110" s="44"/>
      <c r="BY110" s="44"/>
      <c r="BZ110" s="44"/>
      <c r="CA110" s="44"/>
      <c r="CB110" s="44"/>
      <c r="CC110" s="44"/>
      <c r="CD110" s="44"/>
      <c r="CE110" s="44"/>
      <c r="CF110" s="44"/>
      <c r="CG110" s="44"/>
      <c r="CH110" s="44"/>
      <c r="CI110" s="44"/>
      <c r="CJ110" s="44"/>
    </row>
    <row r="111" spans="31:88" ht="15" customHeight="1">
      <c r="AE111" s="44"/>
      <c r="AF111" s="44"/>
      <c r="AG111" s="44"/>
      <c r="AH111" s="44"/>
      <c r="AI111" s="44"/>
      <c r="AJ111" s="44"/>
      <c r="AK111" s="44"/>
      <c r="AL111" s="44"/>
      <c r="AM111" s="44"/>
      <c r="AN111" s="44"/>
      <c r="AO111" s="44"/>
      <c r="AP111" s="44"/>
      <c r="AQ111" s="44"/>
      <c r="AR111" s="44"/>
      <c r="AS111" s="44"/>
      <c r="AT111" s="44"/>
      <c r="AU111" s="44"/>
      <c r="AV111" s="44"/>
      <c r="AW111" s="44"/>
      <c r="AX111" s="44"/>
      <c r="AY111" s="44"/>
      <c r="AZ111" s="44"/>
      <c r="BA111" s="44"/>
      <c r="BB111" s="44"/>
      <c r="BC111" s="44"/>
      <c r="BD111" s="44"/>
      <c r="BE111" s="44"/>
      <c r="BF111" s="44"/>
      <c r="BG111" s="44"/>
      <c r="BH111" s="44"/>
      <c r="BI111" s="44"/>
      <c r="BJ111" s="44"/>
      <c r="BK111" s="44"/>
      <c r="BL111" s="44"/>
      <c r="BM111" s="44"/>
      <c r="BN111" s="44"/>
      <c r="BO111" s="44"/>
      <c r="BP111" s="44"/>
      <c r="BQ111" s="44"/>
      <c r="BR111" s="44"/>
      <c r="BS111" s="44"/>
      <c r="BT111" s="44"/>
      <c r="BU111" s="44"/>
      <c r="BV111" s="44"/>
      <c r="BW111" s="44"/>
      <c r="BX111" s="44"/>
      <c r="BY111" s="44"/>
      <c r="BZ111" s="44"/>
      <c r="CA111" s="44"/>
      <c r="CB111" s="44"/>
      <c r="CC111" s="44"/>
      <c r="CD111" s="44"/>
      <c r="CE111" s="44"/>
      <c r="CF111" s="44"/>
      <c r="CG111" s="44"/>
      <c r="CH111" s="44"/>
      <c r="CI111" s="44"/>
      <c r="CJ111" s="44"/>
    </row>
    <row r="112" spans="31:88" ht="15" customHeight="1">
      <c r="AE112" s="44"/>
      <c r="AF112" s="44"/>
      <c r="AG112" s="44"/>
      <c r="AH112" s="44"/>
      <c r="AI112" s="44"/>
      <c r="AJ112" s="44"/>
      <c r="AK112" s="44"/>
      <c r="AL112" s="44"/>
      <c r="AM112" s="44"/>
      <c r="AN112" s="44"/>
      <c r="AO112" s="44"/>
      <c r="AP112" s="44"/>
      <c r="AQ112" s="44"/>
      <c r="AR112" s="44"/>
      <c r="AS112" s="44"/>
      <c r="AT112" s="44"/>
      <c r="AU112" s="44"/>
      <c r="AV112" s="44"/>
      <c r="AW112" s="44"/>
      <c r="AX112" s="44"/>
      <c r="AY112" s="44"/>
      <c r="AZ112" s="44"/>
      <c r="BA112" s="44"/>
      <c r="BB112" s="44"/>
      <c r="BC112" s="44"/>
      <c r="BD112" s="44"/>
      <c r="BE112" s="44"/>
      <c r="BF112" s="44"/>
      <c r="BG112" s="44"/>
      <c r="BH112" s="44"/>
      <c r="BI112" s="44"/>
      <c r="BJ112" s="44"/>
      <c r="BK112" s="44"/>
      <c r="BL112" s="44"/>
      <c r="BM112" s="44"/>
      <c r="BN112" s="44"/>
      <c r="BO112" s="44"/>
      <c r="BP112" s="44"/>
      <c r="BQ112" s="44"/>
      <c r="BR112" s="44"/>
      <c r="BS112" s="44"/>
      <c r="BT112" s="44"/>
      <c r="BU112" s="44"/>
      <c r="BV112" s="44"/>
      <c r="BW112" s="44"/>
      <c r="BX112" s="44"/>
      <c r="BY112" s="44"/>
      <c r="BZ112" s="44"/>
      <c r="CA112" s="44"/>
      <c r="CB112" s="44"/>
      <c r="CC112" s="44"/>
      <c r="CD112" s="44"/>
      <c r="CE112" s="44"/>
      <c r="CF112" s="44"/>
      <c r="CG112" s="44"/>
      <c r="CH112" s="44"/>
      <c r="CI112" s="44"/>
      <c r="CJ112" s="44"/>
    </row>
    <row r="113" spans="31:88" ht="15" customHeight="1">
      <c r="AE113" s="44"/>
      <c r="AF113" s="44"/>
      <c r="AG113" s="44"/>
      <c r="AH113" s="44"/>
      <c r="AI113" s="44"/>
      <c r="AJ113" s="44"/>
      <c r="AK113" s="44"/>
      <c r="AL113" s="44"/>
      <c r="AM113" s="44"/>
      <c r="AN113" s="44"/>
      <c r="AO113" s="44"/>
      <c r="AP113" s="44"/>
      <c r="AQ113" s="44"/>
      <c r="AR113" s="44"/>
      <c r="AS113" s="44"/>
      <c r="AT113" s="44"/>
      <c r="AU113" s="44"/>
      <c r="AV113" s="44"/>
      <c r="AW113" s="44"/>
      <c r="AX113" s="44"/>
      <c r="AY113" s="44"/>
      <c r="AZ113" s="44"/>
      <c r="BA113" s="44"/>
      <c r="BB113" s="44"/>
      <c r="BC113" s="44"/>
      <c r="BD113" s="44"/>
      <c r="BE113" s="44"/>
      <c r="BF113" s="44"/>
      <c r="BG113" s="44"/>
      <c r="BH113" s="44"/>
      <c r="BI113" s="44"/>
      <c r="BJ113" s="44"/>
      <c r="BK113" s="44"/>
      <c r="BL113" s="44"/>
      <c r="BM113" s="44"/>
      <c r="BN113" s="44"/>
      <c r="BO113" s="44"/>
      <c r="BP113" s="44"/>
      <c r="BQ113" s="44"/>
      <c r="BR113" s="44"/>
      <c r="BS113" s="44"/>
      <c r="BT113" s="44"/>
      <c r="BU113" s="44"/>
      <c r="BV113" s="44"/>
      <c r="BW113" s="44"/>
      <c r="BX113" s="44"/>
      <c r="BY113" s="44"/>
      <c r="BZ113" s="44"/>
      <c r="CA113" s="44"/>
      <c r="CB113" s="44"/>
      <c r="CC113" s="44"/>
      <c r="CD113" s="44"/>
      <c r="CE113" s="44"/>
      <c r="CF113" s="44"/>
      <c r="CG113" s="44"/>
      <c r="CH113" s="44"/>
      <c r="CI113" s="44"/>
      <c r="CJ113" s="44"/>
    </row>
    <row r="114" spans="31:88" ht="15" customHeight="1">
      <c r="AE114" s="44"/>
      <c r="AF114" s="44"/>
      <c r="AG114" s="44"/>
      <c r="AH114" s="44"/>
      <c r="AI114" s="44"/>
      <c r="AJ114" s="44"/>
      <c r="AK114" s="44"/>
      <c r="AL114" s="44"/>
      <c r="AM114" s="44"/>
      <c r="AN114" s="44"/>
      <c r="AO114" s="44"/>
      <c r="AP114" s="44"/>
      <c r="AQ114" s="44"/>
      <c r="AR114" s="44"/>
      <c r="AS114" s="44"/>
      <c r="AT114" s="44"/>
      <c r="AU114" s="44"/>
      <c r="AV114" s="44"/>
      <c r="AW114" s="44"/>
      <c r="AX114" s="44"/>
      <c r="AY114" s="44"/>
      <c r="AZ114" s="44"/>
      <c r="BA114" s="44"/>
      <c r="BB114" s="44"/>
      <c r="BC114" s="44"/>
      <c r="BD114" s="44"/>
      <c r="BE114" s="44"/>
      <c r="BF114" s="44"/>
      <c r="BG114" s="44"/>
      <c r="BH114" s="44"/>
      <c r="BI114" s="44"/>
      <c r="BJ114" s="44"/>
      <c r="BK114" s="44"/>
      <c r="BL114" s="44"/>
      <c r="BM114" s="44"/>
      <c r="BN114" s="44"/>
      <c r="BO114" s="44"/>
      <c r="BP114" s="44"/>
      <c r="BQ114" s="44"/>
      <c r="BR114" s="44"/>
      <c r="BS114" s="44"/>
      <c r="BT114" s="44"/>
      <c r="BU114" s="44"/>
      <c r="BV114" s="44"/>
      <c r="BW114" s="44"/>
      <c r="BX114" s="44"/>
      <c r="BY114" s="44"/>
      <c r="BZ114" s="44"/>
      <c r="CA114" s="44"/>
      <c r="CB114" s="44"/>
      <c r="CC114" s="44"/>
      <c r="CD114" s="44"/>
      <c r="CE114" s="44"/>
      <c r="CF114" s="44"/>
      <c r="CG114" s="44"/>
      <c r="CH114" s="44"/>
      <c r="CI114" s="44"/>
      <c r="CJ114" s="44"/>
    </row>
    <row r="115" spans="31:88" ht="15" customHeight="1">
      <c r="AE115" s="44"/>
      <c r="AF115" s="44"/>
      <c r="AG115" s="44"/>
      <c r="AH115" s="44"/>
      <c r="AI115" s="44"/>
      <c r="AJ115" s="44"/>
      <c r="AK115" s="44"/>
      <c r="AL115" s="44"/>
      <c r="AM115" s="44"/>
      <c r="AN115" s="44"/>
      <c r="AO115" s="44"/>
      <c r="AP115" s="44"/>
      <c r="AQ115" s="44"/>
      <c r="AR115" s="44"/>
      <c r="AS115" s="44"/>
      <c r="AT115" s="44"/>
      <c r="AU115" s="44"/>
      <c r="AV115" s="44"/>
      <c r="AW115" s="44"/>
      <c r="AX115" s="44"/>
      <c r="AY115" s="44"/>
      <c r="AZ115" s="44"/>
      <c r="BA115" s="44"/>
      <c r="BB115" s="44"/>
      <c r="BC115" s="44"/>
      <c r="BD115" s="44"/>
      <c r="BE115" s="44"/>
      <c r="BF115" s="44"/>
      <c r="BG115" s="44"/>
      <c r="BH115" s="44"/>
      <c r="BI115" s="44"/>
      <c r="BJ115" s="44"/>
      <c r="BK115" s="44"/>
      <c r="BL115" s="44"/>
      <c r="BM115" s="44"/>
      <c r="BN115" s="44"/>
      <c r="BO115" s="44"/>
      <c r="BP115" s="44"/>
      <c r="BQ115" s="44"/>
      <c r="BR115" s="44"/>
      <c r="BS115" s="44"/>
      <c r="BT115" s="44"/>
      <c r="BU115" s="44"/>
      <c r="BV115" s="44"/>
      <c r="BW115" s="44"/>
      <c r="BX115" s="44"/>
      <c r="BY115" s="44"/>
      <c r="BZ115" s="44"/>
      <c r="CA115" s="44"/>
      <c r="CB115" s="44"/>
      <c r="CC115" s="44"/>
      <c r="CD115" s="44"/>
      <c r="CE115" s="44"/>
      <c r="CF115" s="44"/>
      <c r="CG115" s="44"/>
      <c r="CH115" s="44"/>
      <c r="CI115" s="44"/>
      <c r="CJ115" s="44"/>
    </row>
    <row r="116" spans="31:88" ht="15" customHeight="1">
      <c r="AE116" s="44"/>
      <c r="AF116" s="44"/>
      <c r="AG116" s="44"/>
      <c r="AH116" s="44"/>
      <c r="AI116" s="44"/>
      <c r="AJ116" s="44"/>
      <c r="AK116" s="44"/>
      <c r="AL116" s="44"/>
      <c r="AM116" s="44"/>
      <c r="AN116" s="44"/>
      <c r="AO116" s="44"/>
      <c r="AP116" s="44"/>
      <c r="AQ116" s="44"/>
      <c r="AR116" s="44"/>
      <c r="AS116" s="44"/>
      <c r="AT116" s="44"/>
      <c r="AU116" s="44"/>
      <c r="AV116" s="44"/>
      <c r="AW116" s="44"/>
      <c r="AX116" s="44"/>
      <c r="AY116" s="44"/>
      <c r="AZ116" s="44"/>
      <c r="BA116" s="44"/>
      <c r="BB116" s="44"/>
      <c r="BC116" s="44"/>
      <c r="BD116" s="44"/>
      <c r="BE116" s="44"/>
      <c r="BF116" s="44"/>
      <c r="BG116" s="44"/>
      <c r="BH116" s="44"/>
      <c r="BI116" s="44"/>
      <c r="BJ116" s="44"/>
      <c r="BK116" s="44"/>
      <c r="BL116" s="44"/>
      <c r="BM116" s="44"/>
      <c r="BN116" s="44"/>
      <c r="BO116" s="44"/>
      <c r="BP116" s="44"/>
      <c r="BQ116" s="44"/>
      <c r="BR116" s="44"/>
      <c r="BS116" s="44"/>
      <c r="BT116" s="44"/>
      <c r="BU116" s="44"/>
      <c r="BV116" s="44"/>
      <c r="BW116" s="44"/>
      <c r="BX116" s="44"/>
      <c r="BY116" s="44"/>
      <c r="BZ116" s="44"/>
      <c r="CA116" s="44"/>
      <c r="CB116" s="44"/>
      <c r="CC116" s="44"/>
      <c r="CD116" s="44"/>
      <c r="CE116" s="44"/>
      <c r="CF116" s="44"/>
      <c r="CG116" s="44"/>
      <c r="CH116" s="44"/>
      <c r="CI116" s="44"/>
      <c r="CJ116" s="44"/>
    </row>
    <row r="117" spans="31:88" ht="15" customHeight="1">
      <c r="AE117" s="44"/>
      <c r="AF117" s="44"/>
      <c r="AG117" s="44"/>
      <c r="AH117" s="4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  <c r="AT117" s="44"/>
      <c r="AU117" s="44"/>
      <c r="AV117" s="44"/>
      <c r="AW117" s="44"/>
      <c r="AX117" s="44"/>
      <c r="AY117" s="44"/>
      <c r="AZ117" s="44"/>
      <c r="BA117" s="44"/>
      <c r="BB117" s="44"/>
      <c r="BC117" s="44"/>
      <c r="BD117" s="44"/>
      <c r="BE117" s="44"/>
      <c r="BF117" s="44"/>
      <c r="BG117" s="44"/>
      <c r="BH117" s="44"/>
      <c r="BI117" s="44"/>
      <c r="BJ117" s="44"/>
      <c r="BK117" s="44"/>
      <c r="BL117" s="44"/>
      <c r="BM117" s="44"/>
      <c r="BN117" s="44"/>
      <c r="BO117" s="44"/>
      <c r="BP117" s="44"/>
      <c r="BQ117" s="44"/>
      <c r="BR117" s="44"/>
      <c r="BS117" s="44"/>
      <c r="BT117" s="44"/>
      <c r="BU117" s="44"/>
      <c r="BV117" s="44"/>
      <c r="BW117" s="44"/>
      <c r="BX117" s="44"/>
      <c r="BY117" s="44"/>
      <c r="BZ117" s="44"/>
      <c r="CA117" s="44"/>
      <c r="CB117" s="44"/>
      <c r="CC117" s="44"/>
      <c r="CD117" s="44"/>
      <c r="CE117" s="44"/>
      <c r="CF117" s="44"/>
      <c r="CG117" s="44"/>
      <c r="CH117" s="44"/>
      <c r="CI117" s="44"/>
      <c r="CJ117" s="44"/>
    </row>
    <row r="118" spans="31:88" ht="15" customHeight="1">
      <c r="AE118" s="44"/>
      <c r="AF118" s="44"/>
      <c r="AG118" s="44"/>
      <c r="AH118" s="44"/>
      <c r="AI118" s="44"/>
      <c r="AJ118" s="44"/>
      <c r="AK118" s="44"/>
      <c r="AL118" s="44"/>
      <c r="AM118" s="44"/>
      <c r="AN118" s="44"/>
      <c r="AO118" s="44"/>
      <c r="AP118" s="44"/>
      <c r="AQ118" s="44"/>
      <c r="AR118" s="44"/>
      <c r="AS118" s="44"/>
      <c r="AT118" s="44"/>
      <c r="AU118" s="44"/>
      <c r="AV118" s="44"/>
      <c r="AW118" s="44"/>
      <c r="AX118" s="44"/>
      <c r="AY118" s="44"/>
      <c r="AZ118" s="44"/>
      <c r="BA118" s="44"/>
      <c r="BB118" s="44"/>
      <c r="BC118" s="44"/>
      <c r="BD118" s="44"/>
      <c r="BE118" s="44"/>
      <c r="BF118" s="44"/>
      <c r="BG118" s="44"/>
      <c r="BH118" s="44"/>
      <c r="BI118" s="44"/>
      <c r="BJ118" s="44"/>
      <c r="BK118" s="44"/>
      <c r="BL118" s="44"/>
      <c r="BM118" s="44"/>
      <c r="BN118" s="44"/>
      <c r="BO118" s="44"/>
      <c r="BP118" s="44"/>
      <c r="BQ118" s="44"/>
      <c r="BR118" s="44"/>
      <c r="BS118" s="44"/>
      <c r="BT118" s="44"/>
      <c r="BU118" s="44"/>
      <c r="BV118" s="44"/>
      <c r="BW118" s="44"/>
      <c r="BX118" s="44"/>
      <c r="BY118" s="44"/>
      <c r="BZ118" s="44"/>
      <c r="CA118" s="44"/>
      <c r="CB118" s="44"/>
      <c r="CC118" s="44"/>
      <c r="CD118" s="44"/>
      <c r="CE118" s="44"/>
      <c r="CF118" s="44"/>
      <c r="CG118" s="44"/>
      <c r="CH118" s="44"/>
      <c r="CI118" s="44"/>
      <c r="CJ118" s="44"/>
    </row>
    <row r="119" spans="31:88" ht="15" customHeight="1">
      <c r="AE119" s="44"/>
      <c r="AF119" s="44"/>
      <c r="AG119" s="44"/>
      <c r="AH119" s="44"/>
      <c r="AI119" s="44"/>
      <c r="AJ119" s="44"/>
      <c r="AK119" s="44"/>
      <c r="AL119" s="44"/>
      <c r="AM119" s="44"/>
      <c r="AN119" s="44"/>
      <c r="AO119" s="44"/>
      <c r="AP119" s="44"/>
      <c r="AQ119" s="44"/>
      <c r="AR119" s="44"/>
      <c r="AS119" s="44"/>
      <c r="AT119" s="44"/>
      <c r="AU119" s="44"/>
      <c r="AV119" s="44"/>
      <c r="AW119" s="44"/>
      <c r="AX119" s="44"/>
      <c r="AY119" s="44"/>
      <c r="AZ119" s="44"/>
      <c r="BA119" s="44"/>
      <c r="BB119" s="44"/>
      <c r="BC119" s="44"/>
      <c r="BD119" s="44"/>
      <c r="BE119" s="44"/>
      <c r="BF119" s="44"/>
      <c r="BG119" s="44"/>
      <c r="BH119" s="44"/>
      <c r="BI119" s="44"/>
      <c r="BJ119" s="44"/>
      <c r="BK119" s="44"/>
      <c r="BL119" s="44"/>
      <c r="BM119" s="44"/>
      <c r="BN119" s="44"/>
      <c r="BO119" s="44"/>
      <c r="BP119" s="44"/>
      <c r="BQ119" s="44"/>
      <c r="BR119" s="44"/>
      <c r="BS119" s="44"/>
      <c r="BT119" s="44"/>
      <c r="BU119" s="44"/>
      <c r="BV119" s="44"/>
      <c r="BW119" s="44"/>
      <c r="BX119" s="44"/>
      <c r="BY119" s="44"/>
      <c r="BZ119" s="44"/>
      <c r="CA119" s="44"/>
      <c r="CB119" s="44"/>
      <c r="CC119" s="44"/>
      <c r="CD119" s="44"/>
      <c r="CE119" s="44"/>
      <c r="CF119" s="44"/>
      <c r="CG119" s="44"/>
      <c r="CH119" s="44"/>
      <c r="CI119" s="44"/>
      <c r="CJ119" s="44"/>
    </row>
    <row r="120" spans="31:88" ht="15" customHeight="1">
      <c r="AE120" s="44"/>
      <c r="AF120" s="44"/>
      <c r="AG120" s="44"/>
      <c r="AH120" s="44"/>
      <c r="AI120" s="44"/>
      <c r="AJ120" s="44"/>
      <c r="AK120" s="44"/>
      <c r="AL120" s="44"/>
      <c r="AM120" s="44"/>
      <c r="AN120" s="44"/>
      <c r="AO120" s="44"/>
      <c r="AP120" s="44"/>
      <c r="AQ120" s="44"/>
      <c r="AR120" s="44"/>
      <c r="AS120" s="44"/>
      <c r="AT120" s="44"/>
      <c r="AU120" s="44"/>
      <c r="AV120" s="44"/>
      <c r="AW120" s="44"/>
      <c r="AX120" s="44"/>
      <c r="AY120" s="44"/>
      <c r="AZ120" s="44"/>
      <c r="BA120" s="44"/>
      <c r="BB120" s="44"/>
      <c r="BC120" s="44"/>
      <c r="BD120" s="44"/>
      <c r="BE120" s="44"/>
      <c r="BF120" s="44"/>
      <c r="BG120" s="44"/>
      <c r="BH120" s="44"/>
      <c r="BI120" s="44"/>
      <c r="BJ120" s="44"/>
      <c r="BK120" s="44"/>
      <c r="BL120" s="44"/>
      <c r="BM120" s="44"/>
      <c r="BN120" s="44"/>
      <c r="BO120" s="44"/>
      <c r="BP120" s="44"/>
      <c r="BQ120" s="44"/>
      <c r="BR120" s="44"/>
      <c r="BS120" s="44"/>
      <c r="BT120" s="44"/>
      <c r="BU120" s="44"/>
      <c r="BV120" s="44"/>
      <c r="BW120" s="44"/>
      <c r="BX120" s="44"/>
      <c r="BY120" s="44"/>
      <c r="BZ120" s="44"/>
      <c r="CA120" s="44"/>
      <c r="CB120" s="44"/>
      <c r="CC120" s="44"/>
      <c r="CD120" s="44"/>
      <c r="CE120" s="44"/>
      <c r="CF120" s="44"/>
      <c r="CG120" s="44"/>
      <c r="CH120" s="44"/>
      <c r="CI120" s="44"/>
      <c r="CJ120" s="44"/>
    </row>
    <row r="121" spans="31:88" ht="15" customHeight="1">
      <c r="AE121" s="44"/>
      <c r="AF121" s="44"/>
      <c r="AG121" s="44"/>
      <c r="AH121" s="44"/>
      <c r="AI121" s="44"/>
      <c r="AJ121" s="44"/>
      <c r="AK121" s="44"/>
      <c r="AL121" s="44"/>
      <c r="AM121" s="44"/>
      <c r="AN121" s="44"/>
      <c r="AO121" s="44"/>
      <c r="AP121" s="44"/>
      <c r="AQ121" s="44"/>
      <c r="AR121" s="44"/>
      <c r="AS121" s="44"/>
      <c r="AT121" s="44"/>
      <c r="AU121" s="44"/>
      <c r="AV121" s="44"/>
      <c r="AW121" s="44"/>
      <c r="AX121" s="44"/>
      <c r="AY121" s="44"/>
      <c r="AZ121" s="44"/>
      <c r="BA121" s="44"/>
      <c r="BB121" s="44"/>
      <c r="BC121" s="44"/>
      <c r="BD121" s="44"/>
      <c r="BE121" s="44"/>
      <c r="BF121" s="44"/>
      <c r="BG121" s="44"/>
      <c r="BH121" s="44"/>
      <c r="BI121" s="44"/>
      <c r="BJ121" s="44"/>
      <c r="BK121" s="44"/>
      <c r="BL121" s="44"/>
      <c r="BM121" s="44"/>
      <c r="BN121" s="44"/>
      <c r="BO121" s="44"/>
      <c r="BP121" s="44"/>
      <c r="BQ121" s="44"/>
      <c r="BR121" s="44"/>
      <c r="BS121" s="44"/>
      <c r="BT121" s="44"/>
      <c r="BU121" s="44"/>
      <c r="BV121" s="44"/>
      <c r="BW121" s="44"/>
      <c r="BX121" s="44"/>
      <c r="BY121" s="44"/>
      <c r="BZ121" s="44"/>
      <c r="CA121" s="44"/>
      <c r="CB121" s="44"/>
      <c r="CC121" s="44"/>
      <c r="CD121" s="44"/>
      <c r="CE121" s="44"/>
      <c r="CF121" s="44"/>
      <c r="CG121" s="44"/>
      <c r="CH121" s="44"/>
      <c r="CI121" s="44"/>
      <c r="CJ121" s="44"/>
    </row>
    <row r="122" spans="31:88" ht="15" customHeight="1">
      <c r="AE122" s="44"/>
      <c r="AF122" s="44"/>
      <c r="AG122" s="44"/>
      <c r="AH122" s="44"/>
      <c r="AI122" s="44"/>
      <c r="AJ122" s="44"/>
      <c r="AK122" s="44"/>
      <c r="AL122" s="44"/>
      <c r="AM122" s="44"/>
      <c r="AN122" s="44"/>
      <c r="AO122" s="44"/>
      <c r="AP122" s="44"/>
      <c r="AQ122" s="44"/>
      <c r="AR122" s="44"/>
      <c r="AS122" s="44"/>
      <c r="AT122" s="44"/>
      <c r="AU122" s="44"/>
      <c r="AV122" s="44"/>
      <c r="AW122" s="44"/>
      <c r="AX122" s="44"/>
      <c r="AY122" s="44"/>
      <c r="AZ122" s="44"/>
      <c r="BA122" s="44"/>
      <c r="BB122" s="44"/>
      <c r="BC122" s="44"/>
      <c r="BD122" s="44"/>
      <c r="BE122" s="44"/>
      <c r="BF122" s="44"/>
      <c r="BG122" s="44"/>
      <c r="BH122" s="44"/>
      <c r="BI122" s="44"/>
      <c r="BJ122" s="44"/>
      <c r="BK122" s="44"/>
      <c r="BL122" s="44"/>
      <c r="BM122" s="44"/>
      <c r="BN122" s="44"/>
      <c r="BO122" s="44"/>
      <c r="BP122" s="44"/>
      <c r="BQ122" s="44"/>
      <c r="BR122" s="44"/>
      <c r="BS122" s="44"/>
      <c r="BT122" s="44"/>
      <c r="BU122" s="44"/>
      <c r="BV122" s="44"/>
      <c r="BW122" s="44"/>
      <c r="BX122" s="44"/>
      <c r="BY122" s="44"/>
      <c r="BZ122" s="44"/>
      <c r="CA122" s="44"/>
      <c r="CB122" s="44"/>
      <c r="CC122" s="44"/>
      <c r="CD122" s="44"/>
      <c r="CE122" s="44"/>
      <c r="CF122" s="44"/>
      <c r="CG122" s="44"/>
      <c r="CH122" s="44"/>
      <c r="CI122" s="44"/>
      <c r="CJ122" s="44"/>
    </row>
    <row r="123" spans="31:88" ht="15" customHeight="1">
      <c r="AE123" s="44"/>
      <c r="AF123" s="44"/>
      <c r="AG123" s="44"/>
      <c r="AH123" s="44"/>
      <c r="AI123" s="44"/>
      <c r="AJ123" s="44"/>
      <c r="AK123" s="44"/>
      <c r="AL123" s="44"/>
      <c r="AM123" s="44"/>
      <c r="AN123" s="44"/>
      <c r="AO123" s="44"/>
      <c r="AP123" s="44"/>
      <c r="AQ123" s="44"/>
      <c r="AR123" s="44"/>
      <c r="AS123" s="44"/>
      <c r="AT123" s="44"/>
      <c r="AU123" s="44"/>
      <c r="AV123" s="44"/>
      <c r="AW123" s="44"/>
      <c r="AX123" s="44"/>
      <c r="AY123" s="44"/>
      <c r="AZ123" s="44"/>
      <c r="BA123" s="44"/>
      <c r="BB123" s="44"/>
      <c r="BC123" s="44"/>
      <c r="BD123" s="44"/>
      <c r="BE123" s="44"/>
      <c r="BF123" s="44"/>
      <c r="BG123" s="44"/>
      <c r="BH123" s="44"/>
      <c r="BI123" s="44"/>
      <c r="BJ123" s="44"/>
      <c r="BK123" s="44"/>
      <c r="BL123" s="44"/>
      <c r="BM123" s="44"/>
      <c r="BN123" s="44"/>
      <c r="BO123" s="44"/>
      <c r="BP123" s="44"/>
      <c r="BQ123" s="44"/>
      <c r="BR123" s="44"/>
      <c r="BS123" s="44"/>
      <c r="BT123" s="44"/>
      <c r="BU123" s="44"/>
      <c r="BV123" s="44"/>
      <c r="BW123" s="44"/>
      <c r="BX123" s="44"/>
      <c r="BY123" s="44"/>
      <c r="BZ123" s="44"/>
      <c r="CA123" s="44"/>
      <c r="CB123" s="44"/>
      <c r="CC123" s="44"/>
      <c r="CD123" s="44"/>
      <c r="CE123" s="44"/>
      <c r="CF123" s="44"/>
      <c r="CG123" s="44"/>
      <c r="CH123" s="44"/>
      <c r="CI123" s="44"/>
      <c r="CJ123" s="44"/>
    </row>
    <row r="124" spans="31:88" ht="15" customHeight="1">
      <c r="AE124" s="44"/>
      <c r="AF124" s="44"/>
      <c r="AG124" s="44"/>
      <c r="AH124" s="44"/>
      <c r="AI124" s="44"/>
      <c r="AJ124" s="44"/>
      <c r="AK124" s="44"/>
      <c r="AL124" s="44"/>
      <c r="AM124" s="44"/>
      <c r="AN124" s="44"/>
      <c r="AO124" s="44"/>
      <c r="AP124" s="44"/>
      <c r="AQ124" s="44"/>
      <c r="AR124" s="44"/>
      <c r="AS124" s="44"/>
      <c r="AT124" s="44"/>
      <c r="AU124" s="44"/>
      <c r="AV124" s="44"/>
      <c r="AW124" s="44"/>
      <c r="AX124" s="44"/>
      <c r="AY124" s="44"/>
      <c r="AZ124" s="44"/>
      <c r="BA124" s="44"/>
      <c r="BB124" s="44"/>
      <c r="BC124" s="44"/>
      <c r="BD124" s="44"/>
      <c r="BE124" s="44"/>
      <c r="BF124" s="44"/>
      <c r="BG124" s="44"/>
      <c r="BH124" s="44"/>
      <c r="BI124" s="44"/>
      <c r="BJ124" s="44"/>
      <c r="BK124" s="44"/>
      <c r="BL124" s="44"/>
      <c r="BM124" s="44"/>
      <c r="BN124" s="44"/>
      <c r="BO124" s="44"/>
      <c r="BP124" s="44"/>
      <c r="BQ124" s="44"/>
      <c r="BR124" s="44"/>
      <c r="BS124" s="44"/>
      <c r="BT124" s="44"/>
      <c r="BU124" s="44"/>
      <c r="BV124" s="44"/>
      <c r="BW124" s="44"/>
      <c r="BX124" s="44"/>
      <c r="BY124" s="44"/>
      <c r="BZ124" s="44"/>
      <c r="CA124" s="44"/>
      <c r="CB124" s="44"/>
      <c r="CC124" s="44"/>
      <c r="CD124" s="44"/>
      <c r="CE124" s="44"/>
      <c r="CF124" s="44"/>
      <c r="CG124" s="44"/>
      <c r="CH124" s="44"/>
      <c r="CI124" s="44"/>
      <c r="CJ124" s="44"/>
    </row>
    <row r="125" spans="31:88" ht="15" customHeight="1">
      <c r="AE125" s="44"/>
      <c r="AF125" s="44"/>
      <c r="AG125" s="44"/>
      <c r="AH125" s="44"/>
      <c r="AI125" s="44"/>
      <c r="AJ125" s="44"/>
      <c r="AK125" s="44"/>
      <c r="AL125" s="44"/>
      <c r="AM125" s="44"/>
      <c r="AN125" s="44"/>
      <c r="AO125" s="44"/>
      <c r="AP125" s="44"/>
      <c r="AQ125" s="44"/>
      <c r="AR125" s="44"/>
      <c r="AS125" s="44"/>
      <c r="AT125" s="44"/>
      <c r="AU125" s="44"/>
      <c r="AV125" s="44"/>
      <c r="AW125" s="44"/>
      <c r="AX125" s="44"/>
      <c r="AY125" s="44"/>
      <c r="AZ125" s="44"/>
      <c r="BA125" s="44"/>
      <c r="BB125" s="44"/>
      <c r="BC125" s="44"/>
      <c r="BD125" s="44"/>
      <c r="BE125" s="44"/>
      <c r="BF125" s="44"/>
      <c r="BG125" s="44"/>
      <c r="BH125" s="44"/>
      <c r="BI125" s="44"/>
      <c r="BJ125" s="44"/>
      <c r="BK125" s="44"/>
      <c r="BL125" s="44"/>
      <c r="BM125" s="44"/>
      <c r="BN125" s="44"/>
      <c r="BO125" s="44"/>
      <c r="BP125" s="44"/>
      <c r="BQ125" s="44"/>
      <c r="BR125" s="44"/>
      <c r="BS125" s="44"/>
      <c r="BT125" s="44"/>
      <c r="BU125" s="44"/>
      <c r="BV125" s="44"/>
      <c r="BW125" s="44"/>
      <c r="BX125" s="44"/>
      <c r="BY125" s="44"/>
      <c r="BZ125" s="44"/>
      <c r="CA125" s="44"/>
      <c r="CB125" s="44"/>
      <c r="CC125" s="44"/>
      <c r="CD125" s="44"/>
      <c r="CE125" s="44"/>
      <c r="CF125" s="44"/>
      <c r="CG125" s="44"/>
      <c r="CH125" s="44"/>
      <c r="CI125" s="44"/>
      <c r="CJ125" s="44"/>
    </row>
    <row r="126" spans="31:88" ht="15" customHeight="1">
      <c r="AE126" s="44"/>
      <c r="AF126" s="44"/>
      <c r="AG126" s="44"/>
      <c r="AH126" s="44"/>
      <c r="AI126" s="44"/>
      <c r="AJ126" s="44"/>
      <c r="AK126" s="44"/>
      <c r="AL126" s="44"/>
      <c r="AM126" s="44"/>
      <c r="AN126" s="44"/>
      <c r="AO126" s="44"/>
      <c r="AP126" s="44"/>
      <c r="AQ126" s="44"/>
      <c r="AR126" s="44"/>
      <c r="AS126" s="44"/>
      <c r="AT126" s="44"/>
      <c r="AU126" s="44"/>
      <c r="AV126" s="44"/>
      <c r="AW126" s="44"/>
      <c r="AX126" s="44"/>
      <c r="AY126" s="44"/>
      <c r="AZ126" s="44"/>
      <c r="BA126" s="44"/>
      <c r="BB126" s="44"/>
      <c r="BC126" s="44"/>
      <c r="BD126" s="44"/>
      <c r="BE126" s="44"/>
      <c r="BF126" s="44"/>
      <c r="BG126" s="44"/>
      <c r="BH126" s="44"/>
      <c r="BI126" s="44"/>
      <c r="BJ126" s="44"/>
      <c r="BK126" s="44"/>
      <c r="BL126" s="44"/>
      <c r="BM126" s="44"/>
      <c r="BN126" s="44"/>
      <c r="BO126" s="44"/>
      <c r="BP126" s="44"/>
      <c r="BQ126" s="44"/>
      <c r="BR126" s="44"/>
      <c r="BS126" s="44"/>
      <c r="BT126" s="44"/>
      <c r="BU126" s="44"/>
      <c r="BV126" s="44"/>
      <c r="BW126" s="44"/>
      <c r="BX126" s="44"/>
      <c r="BY126" s="44"/>
      <c r="BZ126" s="44"/>
      <c r="CA126" s="44"/>
      <c r="CB126" s="44"/>
      <c r="CC126" s="44"/>
      <c r="CD126" s="44"/>
      <c r="CE126" s="44"/>
      <c r="CF126" s="44"/>
      <c r="CG126" s="44"/>
      <c r="CH126" s="44"/>
      <c r="CI126" s="44"/>
      <c r="CJ126" s="44"/>
    </row>
    <row r="127" spans="31:88" ht="15" customHeight="1">
      <c r="AE127" s="33"/>
      <c r="AF127" s="33"/>
      <c r="AG127" s="33"/>
      <c r="AH127" s="33"/>
      <c r="AI127" s="33"/>
      <c r="AJ127" s="33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U127" s="33"/>
      <c r="AV127" s="33"/>
      <c r="AW127" s="33"/>
      <c r="AX127" s="33"/>
      <c r="AY127" s="33"/>
      <c r="AZ127" s="33"/>
      <c r="BA127" s="33"/>
      <c r="BB127" s="33"/>
      <c r="BC127" s="33"/>
      <c r="BD127" s="33"/>
      <c r="BE127" s="33"/>
      <c r="BF127" s="33"/>
      <c r="BG127" s="33"/>
      <c r="BH127" s="33"/>
      <c r="BI127" s="34"/>
      <c r="BJ127" s="33"/>
      <c r="BK127" s="33"/>
      <c r="BL127" s="33"/>
      <c r="BM127" s="33"/>
      <c r="BN127" s="33"/>
      <c r="BO127" s="33"/>
      <c r="BP127" s="48"/>
      <c r="BQ127" s="48"/>
      <c r="BR127" s="35"/>
      <c r="BS127" s="35"/>
      <c r="BT127" s="35"/>
      <c r="BU127" s="35"/>
      <c r="BV127" s="35"/>
      <c r="BW127" s="35"/>
      <c r="BX127" s="35"/>
      <c r="BY127" s="35"/>
      <c r="BZ127" s="35"/>
      <c r="CA127" s="35"/>
      <c r="CB127" s="35"/>
      <c r="CC127" s="35"/>
      <c r="CD127" s="35"/>
      <c r="CE127" s="35"/>
      <c r="CF127" s="35"/>
      <c r="CG127" s="35"/>
      <c r="CH127" s="35"/>
      <c r="CI127" s="35"/>
      <c r="CJ127" s="25"/>
    </row>
    <row r="128" spans="31:87" ht="15.75" customHeight="1"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1"/>
      <c r="BJ128" s="10"/>
      <c r="BK128" s="10"/>
      <c r="BL128" s="10"/>
      <c r="BM128" s="10"/>
      <c r="BN128" s="10"/>
      <c r="BO128" s="10"/>
      <c r="BP128" s="12"/>
      <c r="BQ128" s="12"/>
      <c r="BR128" s="13"/>
      <c r="BS128" s="13"/>
      <c r="BT128" s="13"/>
      <c r="BU128" s="13"/>
      <c r="BV128" s="13"/>
      <c r="BW128" s="13"/>
      <c r="BX128" s="13"/>
      <c r="BY128" s="13"/>
      <c r="BZ128" s="13"/>
      <c r="CA128" s="13"/>
      <c r="CB128" s="13"/>
      <c r="CC128" s="13"/>
      <c r="CD128" s="13"/>
      <c r="CE128" s="13"/>
      <c r="CF128" s="13"/>
      <c r="CG128" s="13"/>
      <c r="CH128" s="13"/>
      <c r="CI128" s="13"/>
    </row>
    <row r="129" spans="31:87" ht="15.75" customHeight="1">
      <c r="AE129" s="14"/>
      <c r="AF129" s="15"/>
      <c r="AG129" s="15"/>
      <c r="AH129" s="15"/>
      <c r="AI129" s="14"/>
      <c r="AJ129" s="15"/>
      <c r="AK129" s="15"/>
      <c r="AL129" s="15"/>
      <c r="AM129" s="15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1"/>
      <c r="BJ129" s="10"/>
      <c r="BK129" s="10"/>
      <c r="BL129" s="10"/>
      <c r="BM129" s="10"/>
      <c r="BN129" s="14"/>
      <c r="BO129" s="14"/>
      <c r="BP129" s="16"/>
      <c r="BQ129" s="12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  <c r="CG129" s="13"/>
      <c r="CH129" s="13"/>
      <c r="CI129" s="13"/>
    </row>
    <row r="130" spans="31:87" ht="12.75"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1"/>
      <c r="BJ130" s="10"/>
      <c r="BK130" s="10"/>
      <c r="BL130" s="10"/>
      <c r="BM130" s="10"/>
      <c r="BN130" s="10"/>
      <c r="BO130" s="10"/>
      <c r="BP130" s="12"/>
      <c r="BQ130" s="12"/>
      <c r="BR130" s="13"/>
      <c r="BS130" s="13"/>
      <c r="BT130" s="13"/>
      <c r="BU130" s="13"/>
      <c r="BV130" s="13"/>
      <c r="BW130" s="13"/>
      <c r="BX130" s="13"/>
      <c r="BY130" s="13"/>
      <c r="BZ130" s="13"/>
      <c r="CA130" s="13"/>
      <c r="CB130" s="13"/>
      <c r="CC130" s="13"/>
      <c r="CD130" s="13"/>
      <c r="CE130" s="13"/>
      <c r="CF130" s="13"/>
      <c r="CG130" s="13"/>
      <c r="CH130" s="13"/>
      <c r="CI130" s="13"/>
    </row>
    <row r="131" spans="31:87" ht="12.75"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8"/>
      <c r="BJ131" s="10"/>
      <c r="BK131" s="10"/>
      <c r="BL131" s="10"/>
      <c r="BM131" s="10"/>
      <c r="BN131" s="10"/>
      <c r="BO131" s="10"/>
      <c r="BP131" s="12"/>
      <c r="BQ131" s="12"/>
      <c r="BR131" s="13"/>
      <c r="BS131" s="13"/>
      <c r="BT131" s="13"/>
      <c r="BU131" s="13"/>
      <c r="BV131" s="13"/>
      <c r="BW131" s="13"/>
      <c r="BX131" s="13"/>
      <c r="BY131" s="13"/>
      <c r="BZ131" s="13"/>
      <c r="CA131" s="13"/>
      <c r="CB131" s="13"/>
      <c r="CC131" s="13"/>
      <c r="CD131" s="13"/>
      <c r="CE131" s="13"/>
      <c r="CF131" s="13"/>
      <c r="CG131" s="13"/>
      <c r="CH131" s="13"/>
      <c r="CI131" s="13"/>
    </row>
    <row r="132" spans="31:87" ht="12.75"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8"/>
      <c r="BJ132" s="13"/>
      <c r="BK132" s="13"/>
      <c r="BL132" s="13"/>
      <c r="BM132" s="13"/>
      <c r="BN132" s="13"/>
      <c r="BO132" s="13"/>
      <c r="BP132" s="12"/>
      <c r="BQ132" s="12"/>
      <c r="BR132" s="13"/>
      <c r="BS132" s="13"/>
      <c r="BT132" s="13"/>
      <c r="BU132" s="13"/>
      <c r="BV132" s="13"/>
      <c r="BW132" s="13"/>
      <c r="BX132" s="13"/>
      <c r="BY132" s="13"/>
      <c r="BZ132" s="13"/>
      <c r="CA132" s="13"/>
      <c r="CB132" s="13"/>
      <c r="CC132" s="13"/>
      <c r="CD132" s="13"/>
      <c r="CE132" s="13"/>
      <c r="CF132" s="13"/>
      <c r="CG132" s="13"/>
      <c r="CH132" s="13"/>
      <c r="CI132" s="13"/>
    </row>
    <row r="133" spans="31:87" ht="12.75"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8"/>
      <c r="BJ133" s="13"/>
      <c r="BK133" s="13"/>
      <c r="BL133" s="13"/>
      <c r="BM133" s="13"/>
      <c r="BN133" s="13"/>
      <c r="BO133" s="13"/>
      <c r="BP133" s="12"/>
      <c r="BQ133" s="12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</row>
    <row r="134" spans="31:87" ht="12.75"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8"/>
      <c r="BJ134" s="13"/>
      <c r="BK134" s="13"/>
      <c r="BL134" s="13"/>
      <c r="BM134" s="13"/>
      <c r="BN134" s="13"/>
      <c r="BO134" s="13"/>
      <c r="BP134" s="12"/>
      <c r="BQ134" s="12"/>
      <c r="BR134" s="13"/>
      <c r="BS134" s="13"/>
      <c r="BT134" s="13"/>
      <c r="BU134" s="13"/>
      <c r="BV134" s="13"/>
      <c r="BW134" s="13"/>
      <c r="BX134" s="13"/>
      <c r="BY134" s="13"/>
      <c r="BZ134" s="13"/>
      <c r="CA134" s="13"/>
      <c r="CB134" s="13"/>
      <c r="CC134" s="13"/>
      <c r="CD134" s="13"/>
      <c r="CE134" s="13"/>
      <c r="CF134" s="13"/>
      <c r="CG134" s="13"/>
      <c r="CH134" s="13"/>
      <c r="CI134" s="13"/>
    </row>
    <row r="135" spans="31:87" ht="12.75"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8"/>
      <c r="BJ135" s="13"/>
      <c r="BK135" s="13"/>
      <c r="BL135" s="13"/>
      <c r="BM135" s="13"/>
      <c r="BN135" s="13"/>
      <c r="BO135" s="13"/>
      <c r="BP135" s="12"/>
      <c r="BQ135" s="12"/>
      <c r="BR135" s="13"/>
      <c r="BS135" s="13"/>
      <c r="BT135" s="13"/>
      <c r="BU135" s="13"/>
      <c r="BV135" s="13"/>
      <c r="BW135" s="13"/>
      <c r="BX135" s="13"/>
      <c r="BY135" s="13"/>
      <c r="BZ135" s="13"/>
      <c r="CA135" s="13"/>
      <c r="CB135" s="13"/>
      <c r="CC135" s="13"/>
      <c r="CD135" s="13"/>
      <c r="CE135" s="13"/>
      <c r="CF135" s="13"/>
      <c r="CG135" s="13"/>
      <c r="CH135" s="13"/>
      <c r="CI135" s="13"/>
    </row>
    <row r="136" spans="31:87" ht="12.75"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8"/>
      <c r="BJ136" s="13"/>
      <c r="BK136" s="13"/>
      <c r="BL136" s="13"/>
      <c r="BM136" s="13"/>
      <c r="BN136" s="13"/>
      <c r="BO136" s="13"/>
      <c r="BP136" s="12"/>
      <c r="BQ136" s="12"/>
      <c r="BR136" s="13"/>
      <c r="BS136" s="13"/>
      <c r="BT136" s="13"/>
      <c r="BU136" s="13"/>
      <c r="BV136" s="13"/>
      <c r="BW136" s="13"/>
      <c r="BX136" s="13"/>
      <c r="BY136" s="13"/>
      <c r="BZ136" s="13"/>
      <c r="CA136" s="13"/>
      <c r="CB136" s="13"/>
      <c r="CC136" s="13"/>
      <c r="CD136" s="13"/>
      <c r="CE136" s="13"/>
      <c r="CF136" s="13"/>
      <c r="CG136" s="13"/>
      <c r="CH136" s="13"/>
      <c r="CI136" s="13"/>
    </row>
    <row r="137" spans="31:87" ht="12.75"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8"/>
      <c r="BJ137" s="13"/>
      <c r="BK137" s="13"/>
      <c r="BL137" s="13"/>
      <c r="BM137" s="13"/>
      <c r="BN137" s="13"/>
      <c r="BO137" s="13"/>
      <c r="BP137" s="12"/>
      <c r="BQ137" s="12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13"/>
      <c r="CD137" s="13"/>
      <c r="CE137" s="13"/>
      <c r="CF137" s="13"/>
      <c r="CG137" s="13"/>
      <c r="CH137" s="13"/>
      <c r="CI137" s="13"/>
    </row>
    <row r="138" spans="31:87" ht="12.75"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8"/>
      <c r="BJ138" s="13"/>
      <c r="BK138" s="13"/>
      <c r="BL138" s="13"/>
      <c r="BM138" s="13"/>
      <c r="BN138" s="13"/>
      <c r="BO138" s="13"/>
      <c r="BP138" s="12"/>
      <c r="BQ138" s="12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</row>
    <row r="139" spans="31:87" ht="12.75"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2"/>
      <c r="BQ139" s="12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/>
      <c r="CD139" s="13"/>
      <c r="CE139" s="13"/>
      <c r="CF139" s="13"/>
      <c r="CG139" s="13"/>
      <c r="CH139" s="13"/>
      <c r="CI139" s="13"/>
    </row>
    <row r="140" spans="31:87" ht="12.75"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2"/>
      <c r="BQ140" s="12"/>
      <c r="BR140" s="13"/>
      <c r="BS140" s="13"/>
      <c r="BT140" s="13"/>
      <c r="BU140" s="13"/>
      <c r="BV140" s="13"/>
      <c r="BW140" s="13"/>
      <c r="BX140" s="13"/>
      <c r="BY140" s="13"/>
      <c r="BZ140" s="13"/>
      <c r="CA140" s="13"/>
      <c r="CB140" s="13"/>
      <c r="CC140" s="13"/>
      <c r="CD140" s="13"/>
      <c r="CE140" s="13"/>
      <c r="CF140" s="13"/>
      <c r="CG140" s="13"/>
      <c r="CH140" s="13"/>
      <c r="CI140" s="13"/>
    </row>
    <row r="141" spans="31:87" ht="12.75"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 s="12"/>
      <c r="BQ141" s="12"/>
      <c r="BR141" s="13"/>
      <c r="BS141" s="13"/>
      <c r="BT141" s="13"/>
      <c r="BU141" s="13"/>
      <c r="BV141" s="13"/>
      <c r="BW141" s="13"/>
      <c r="BX141" s="13"/>
      <c r="BY141" s="13"/>
      <c r="BZ141" s="13"/>
      <c r="CA141" s="13"/>
      <c r="CB141" s="13"/>
      <c r="CC141" s="13"/>
      <c r="CD141" s="13"/>
      <c r="CE141" s="13"/>
      <c r="CF141" s="13"/>
      <c r="CG141" s="13"/>
      <c r="CH141" s="13"/>
      <c r="CI141" s="13"/>
    </row>
    <row r="142" spans="31:87" ht="12.75"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2"/>
      <c r="BQ142" s="12"/>
      <c r="BR142" s="13"/>
      <c r="BS142" s="13"/>
      <c r="BT142" s="13"/>
      <c r="BU142" s="13"/>
      <c r="BV142" s="13"/>
      <c r="BW142" s="13"/>
      <c r="BX142" s="13"/>
      <c r="BY142" s="13"/>
      <c r="BZ142" s="13"/>
      <c r="CA142" s="13"/>
      <c r="CB142" s="13"/>
      <c r="CC142" s="13"/>
      <c r="CD142" s="13"/>
      <c r="CE142" s="13"/>
      <c r="CF142" s="13"/>
      <c r="CG142" s="13"/>
      <c r="CH142" s="13"/>
      <c r="CI142" s="13"/>
    </row>
    <row r="143" spans="4:87" ht="12.75">
      <c r="D143" s="7"/>
      <c r="E143" s="7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  <c r="BO143" s="13"/>
      <c r="BP143" s="12"/>
      <c r="BQ143" s="12"/>
      <c r="BR143" s="13"/>
      <c r="BS143" s="13"/>
      <c r="BT143" s="13"/>
      <c r="BU143" s="13"/>
      <c r="BV143" s="13"/>
      <c r="BW143" s="13"/>
      <c r="BX143" s="13"/>
      <c r="BY143" s="13"/>
      <c r="BZ143" s="13"/>
      <c r="CA143" s="13"/>
      <c r="CB143" s="13"/>
      <c r="CC143" s="13"/>
      <c r="CD143" s="13"/>
      <c r="CE143" s="13"/>
      <c r="CF143" s="13"/>
      <c r="CG143" s="13"/>
      <c r="CH143" s="13"/>
      <c r="CI143" s="13"/>
    </row>
    <row r="144" spans="4:87" ht="12.75">
      <c r="D144" s="7"/>
      <c r="E144" s="7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2"/>
      <c r="BQ144" s="12"/>
      <c r="BR144" s="13"/>
      <c r="BS144" s="13"/>
      <c r="BT144" s="13"/>
      <c r="BU144" s="13"/>
      <c r="BV144" s="13"/>
      <c r="BW144" s="13"/>
      <c r="BX144" s="13"/>
      <c r="BY144" s="13"/>
      <c r="BZ144" s="13"/>
      <c r="CA144" s="13"/>
      <c r="CB144" s="13"/>
      <c r="CC144" s="13"/>
      <c r="CD144" s="13"/>
      <c r="CE144" s="13"/>
      <c r="CF144" s="13"/>
      <c r="CG144" s="13"/>
      <c r="CH144" s="13"/>
      <c r="CI144" s="13"/>
    </row>
    <row r="145" spans="4:84" ht="12.75">
      <c r="D145" s="7"/>
      <c r="E145" s="7"/>
      <c r="BP145" s="3"/>
      <c r="BQ145" s="3"/>
      <c r="CF145" s="13"/>
    </row>
    <row r="146" spans="4:84" ht="12.75">
      <c r="D146" s="7"/>
      <c r="E146" s="7"/>
      <c r="BP146" s="3"/>
      <c r="BQ146" s="3"/>
      <c r="CF146" s="13"/>
    </row>
    <row r="147" spans="4:84" ht="12.75">
      <c r="D147" s="7"/>
      <c r="E147" s="7"/>
      <c r="BP147" s="3"/>
      <c r="BQ147" s="3"/>
      <c r="CF147" s="13"/>
    </row>
    <row r="148" spans="4:84" ht="12.75">
      <c r="D148" s="7"/>
      <c r="E148" s="7"/>
      <c r="BP148" s="3"/>
      <c r="BQ148" s="3"/>
      <c r="CF148" s="13"/>
    </row>
    <row r="149" spans="4:84" ht="12.75">
      <c r="D149" s="1"/>
      <c r="E149" s="1"/>
      <c r="BP149" s="3"/>
      <c r="BQ149" s="3"/>
      <c r="CF149" s="13"/>
    </row>
    <row r="150" spans="4:84" ht="12.75">
      <c r="D150" s="1"/>
      <c r="E150" s="1"/>
      <c r="BP150" s="3"/>
      <c r="BQ150" s="3"/>
      <c r="CF150" s="13"/>
    </row>
    <row r="151" spans="4:84" ht="12.75">
      <c r="D151" s="1"/>
      <c r="E151" s="1"/>
      <c r="BP151" s="3"/>
      <c r="BQ151" s="3"/>
      <c r="CF151" s="13"/>
    </row>
    <row r="152" spans="4:84" ht="12.75">
      <c r="D152" s="1"/>
      <c r="E152" s="1"/>
      <c r="BP152" s="3"/>
      <c r="BQ152" s="3"/>
      <c r="CF152" s="13"/>
    </row>
    <row r="153" spans="4:84" ht="12.75">
      <c r="D153" s="1"/>
      <c r="E153" s="1"/>
      <c r="BP153" s="3"/>
      <c r="BQ153" s="3"/>
      <c r="CF153" s="13"/>
    </row>
    <row r="154" spans="4:84" ht="12.75">
      <c r="D154" s="1"/>
      <c r="E154" s="1"/>
      <c r="BP154" s="3"/>
      <c r="BQ154" s="3"/>
      <c r="CF154" s="13"/>
    </row>
    <row r="155" spans="4:84" ht="12.75">
      <c r="D155" s="1"/>
      <c r="E155" s="1"/>
      <c r="BP155" s="3"/>
      <c r="BQ155" s="3"/>
      <c r="CF155" s="13"/>
    </row>
    <row r="156" spans="4:84" ht="12.75">
      <c r="D156" s="1"/>
      <c r="E156" s="1"/>
      <c r="BP156" s="3"/>
      <c r="BQ156" s="3"/>
      <c r="CF156" s="13"/>
    </row>
    <row r="157" spans="4:84" ht="12.75">
      <c r="D157" s="1"/>
      <c r="E157" s="1"/>
      <c r="BP157" s="3"/>
      <c r="BQ157" s="3"/>
      <c r="CF157" s="13"/>
    </row>
    <row r="158" spans="4:84" ht="12.75">
      <c r="D158" s="1"/>
      <c r="E158" s="1"/>
      <c r="BP158" s="3"/>
      <c r="BQ158" s="3"/>
      <c r="CF158" s="13"/>
    </row>
    <row r="159" spans="4:84" ht="12.75">
      <c r="D159" s="1"/>
      <c r="E159" s="1"/>
      <c r="BP159" s="3"/>
      <c r="BQ159" s="3"/>
      <c r="CF159" s="13"/>
    </row>
    <row r="160" spans="4:84" ht="12.75">
      <c r="D160" s="1"/>
      <c r="E160" s="1"/>
      <c r="BP160" s="3"/>
      <c r="BQ160" s="3"/>
      <c r="CF160" s="13"/>
    </row>
    <row r="161" spans="4:84" ht="12.75">
      <c r="D161" s="1"/>
      <c r="E161" s="1"/>
      <c r="BP161" s="3"/>
      <c r="BQ161" s="3"/>
      <c r="CF161" s="13"/>
    </row>
    <row r="162" spans="4:84" ht="12.75">
      <c r="D162" s="1"/>
      <c r="E162" s="1"/>
      <c r="BP162" s="3"/>
      <c r="BQ162" s="3"/>
      <c r="CF162" s="13"/>
    </row>
    <row r="163" spans="4:84" ht="12.75">
      <c r="D163" s="1"/>
      <c r="E163" s="1"/>
      <c r="BP163" s="3"/>
      <c r="BQ163" s="3"/>
      <c r="CF163" s="13"/>
    </row>
    <row r="164" spans="4:84" ht="12.75">
      <c r="D164" s="1"/>
      <c r="E164" s="1"/>
      <c r="BP164" s="3"/>
      <c r="BQ164" s="3"/>
      <c r="CF164" s="13"/>
    </row>
    <row r="165" spans="4:84" ht="12.75">
      <c r="D165" s="1"/>
      <c r="E165" s="1"/>
      <c r="BP165" s="3"/>
      <c r="BQ165" s="3"/>
      <c r="CF165" s="13"/>
    </row>
    <row r="166" spans="4:84" ht="12.75">
      <c r="D166" s="1"/>
      <c r="E166" s="1"/>
      <c r="BP166" s="3"/>
      <c r="BQ166" s="3"/>
      <c r="CF166" s="13"/>
    </row>
    <row r="167" spans="4:84" ht="12.75">
      <c r="D167" s="1"/>
      <c r="E167" s="1"/>
      <c r="BP167" s="3"/>
      <c r="BQ167" s="3"/>
      <c r="CF167" s="13"/>
    </row>
    <row r="168" spans="4:84" ht="12.75">
      <c r="D168" s="1"/>
      <c r="E168" s="1"/>
      <c r="BP168" s="3"/>
      <c r="BQ168" s="3"/>
      <c r="CF168" s="13"/>
    </row>
    <row r="169" spans="4:84" ht="12.75">
      <c r="D169" s="1"/>
      <c r="E169" s="1"/>
      <c r="BP169" s="3"/>
      <c r="BQ169" s="3"/>
      <c r="CF169" s="13"/>
    </row>
    <row r="170" spans="4:5" ht="12.75">
      <c r="D170" s="1"/>
      <c r="E170" s="1"/>
    </row>
    <row r="171" spans="4:5" ht="12.75">
      <c r="D171" s="1"/>
      <c r="E171" s="1"/>
    </row>
  </sheetData>
  <sheetProtection/>
  <mergeCells count="44">
    <mergeCell ref="H6:I6"/>
    <mergeCell ref="J6:K6"/>
    <mergeCell ref="L6:M6"/>
    <mergeCell ref="A6:A7"/>
    <mergeCell ref="B6:C6"/>
    <mergeCell ref="D6:E6"/>
    <mergeCell ref="F6:G6"/>
    <mergeCell ref="N6:O6"/>
    <mergeCell ref="P6:Q6"/>
    <mergeCell ref="AX6:AY6"/>
    <mergeCell ref="AV6:AW6"/>
    <mergeCell ref="V6:W6"/>
    <mergeCell ref="X6:Y6"/>
    <mergeCell ref="Z6:AA6"/>
    <mergeCell ref="AB6:AC6"/>
    <mergeCell ref="R6:S6"/>
    <mergeCell ref="T6:U6"/>
    <mergeCell ref="AZ6:BA6"/>
    <mergeCell ref="AD6:AE6"/>
    <mergeCell ref="AF6:AG6"/>
    <mergeCell ref="AH6:AI6"/>
    <mergeCell ref="AJ6:AK6"/>
    <mergeCell ref="AL6:AM6"/>
    <mergeCell ref="AN6:AO6"/>
    <mergeCell ref="AP6:AQ6"/>
    <mergeCell ref="AR6:AS6"/>
    <mergeCell ref="AT6:AU6"/>
    <mergeCell ref="BT6:BU6"/>
    <mergeCell ref="BF6:BG6"/>
    <mergeCell ref="BH6:BI6"/>
    <mergeCell ref="BJ6:BK6"/>
    <mergeCell ref="BL6:BM6"/>
    <mergeCell ref="BN6:BO6"/>
    <mergeCell ref="BP6:BQ6"/>
    <mergeCell ref="BB6:BC6"/>
    <mergeCell ref="BD6:BE6"/>
    <mergeCell ref="CD6:CE6"/>
    <mergeCell ref="CF6:CG6"/>
    <mergeCell ref="CH6:CI6"/>
    <mergeCell ref="BV6:BW6"/>
    <mergeCell ref="BX6:BY6"/>
    <mergeCell ref="BZ6:CA6"/>
    <mergeCell ref="CB6:CC6"/>
    <mergeCell ref="BR6:BS6"/>
  </mergeCells>
  <printOptions/>
  <pageMargins left="1.3385826771653544" right="0.7874015748031497" top="1.0236220472440944" bottom="0.5118110236220472" header="0" footer="0"/>
  <pageSetup fitToHeight="1" fitToWidth="1" horizontalDpi="600" verticalDpi="600" orientation="landscape" paperSize="45" scale="85" r:id="rId4"/>
  <legacyDrawing r:id="rId3"/>
  <oleObjects>
    <oleObject progId="MSPhotoEd.3" shapeId="547556" r:id="rId1"/>
    <oleObject progId="MSPhotoEd.3" shapeId="547557" r:id="rId2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B28"/>
  <sheetViews>
    <sheetView zoomScalePageLayoutView="0" workbookViewId="0" topLeftCell="A4">
      <selection activeCell="B9" sqref="B9:C27"/>
    </sheetView>
  </sheetViews>
  <sheetFormatPr defaultColWidth="11.421875" defaultRowHeight="12.75"/>
  <cols>
    <col min="1" max="1" width="36.7109375" style="0" customWidth="1"/>
    <col min="2" max="3" width="10.421875" style="0" customWidth="1"/>
  </cols>
  <sheetData>
    <row r="1" ht="13.5">
      <c r="A1" s="23" t="s">
        <v>89</v>
      </c>
    </row>
    <row r="2" ht="13.5">
      <c r="A2" s="24" t="s">
        <v>71</v>
      </c>
    </row>
    <row r="3" ht="13.5">
      <c r="A3" s="23" t="s">
        <v>72</v>
      </c>
    </row>
    <row r="4" ht="13.5">
      <c r="A4" s="23" t="s">
        <v>128</v>
      </c>
    </row>
    <row r="5" ht="14.25" thickBot="1">
      <c r="A5" s="23" t="s">
        <v>73</v>
      </c>
    </row>
    <row r="6" spans="1:7" ht="13.5" customHeight="1" thickBot="1">
      <c r="A6" s="374" t="s">
        <v>56</v>
      </c>
      <c r="B6" s="368" t="s">
        <v>10</v>
      </c>
      <c r="C6" s="369"/>
      <c r="D6" s="368" t="s">
        <v>76</v>
      </c>
      <c r="E6" s="369"/>
      <c r="F6" s="368" t="s">
        <v>98</v>
      </c>
      <c r="G6" s="369"/>
    </row>
    <row r="7" spans="1:7" ht="13.5" thickBot="1">
      <c r="A7" s="375"/>
      <c r="B7" s="209">
        <v>40724</v>
      </c>
      <c r="C7" s="209">
        <v>41090</v>
      </c>
      <c r="D7" s="209">
        <v>40724</v>
      </c>
      <c r="E7" s="209">
        <v>41090</v>
      </c>
      <c r="F7" s="209">
        <v>40724</v>
      </c>
      <c r="G7" s="209">
        <v>41090</v>
      </c>
    </row>
    <row r="8" spans="1:28" ht="13.5" thickBot="1">
      <c r="A8" s="72" t="s">
        <v>40</v>
      </c>
      <c r="B8" s="71"/>
      <c r="C8" s="71"/>
      <c r="D8" s="71"/>
      <c r="E8" s="71"/>
      <c r="F8" s="36"/>
      <c r="G8" s="36"/>
      <c r="H8" s="36"/>
      <c r="I8" s="36"/>
      <c r="J8" s="36"/>
      <c r="K8" s="36"/>
      <c r="L8" s="36"/>
      <c r="M8" s="36"/>
      <c r="N8" s="36"/>
      <c r="O8" s="36"/>
      <c r="P8" s="43"/>
      <c r="Q8" s="43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</row>
    <row r="9" spans="1:28" ht="13.5" thickBot="1">
      <c r="A9" s="73" t="s">
        <v>60</v>
      </c>
      <c r="B9" s="257">
        <f>6!B10/6!B15</f>
        <v>0.9998518156119715</v>
      </c>
      <c r="C9" s="257">
        <f>6!C10/6!C15</f>
        <v>0.7272246138351758</v>
      </c>
      <c r="D9" s="257">
        <f>6!D10/6!D15</f>
        <v>1.1999417307666975</v>
      </c>
      <c r="E9" s="257">
        <f>6!E10/6!E15</f>
        <v>0.6501883912368676</v>
      </c>
      <c r="F9" s="264">
        <f>6!F10/6!F15</f>
        <v>0.961216514809701</v>
      </c>
      <c r="G9" s="264">
        <f>6!G10/6!G15</f>
        <v>0.7419696927324337</v>
      </c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</row>
    <row r="10" spans="1:28" ht="13.5" thickBot="1">
      <c r="A10" s="72" t="s">
        <v>41</v>
      </c>
      <c r="B10" s="77"/>
      <c r="C10" s="77"/>
      <c r="D10" s="77"/>
      <c r="E10" s="77"/>
      <c r="F10" s="77"/>
      <c r="G10" s="77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</row>
    <row r="11" spans="1:28" ht="12.75">
      <c r="A11" s="75" t="s">
        <v>8</v>
      </c>
      <c r="B11" s="258">
        <f>+6!B15/6!B18</f>
        <v>0.27110018768127414</v>
      </c>
      <c r="C11" s="258">
        <f>+6!C15/6!C18</f>
        <v>0.3420471541496113</v>
      </c>
      <c r="D11" s="258">
        <f>+6!D15/6!D18</f>
        <v>0.5188638952259407</v>
      </c>
      <c r="E11" s="258">
        <f>+6!E15/6!E18</f>
        <v>0.42307673003093144</v>
      </c>
      <c r="F11" s="258">
        <f>+6!F15/6!F18</f>
        <v>0.2482141854885177</v>
      </c>
      <c r="G11" s="258">
        <f>+6!G15/6!G18</f>
        <v>0.3299515726862926</v>
      </c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</row>
    <row r="12" spans="1:28" ht="12.75">
      <c r="A12" s="55" t="s">
        <v>42</v>
      </c>
      <c r="B12" s="259">
        <f>6!B18/6!B24</f>
        <v>4.872798153804901</v>
      </c>
      <c r="C12" s="259">
        <f>6!C18/6!C24</f>
        <v>2.511405386803511</v>
      </c>
      <c r="D12" s="259">
        <f>6!D18/6!D24</f>
        <v>2.0747362456235567</v>
      </c>
      <c r="E12" s="259">
        <f>6!E18/6!E24</f>
        <v>3.5347528701733855</v>
      </c>
      <c r="F12" s="259">
        <f>6!F18/6!F24</f>
        <v>5.5662008798496565</v>
      </c>
      <c r="G12" s="259">
        <f>6!G18/6!G24</f>
        <v>2.407367930344741</v>
      </c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</row>
    <row r="13" spans="1:28" ht="12.75">
      <c r="A13" s="56" t="s">
        <v>43</v>
      </c>
      <c r="B13" s="259">
        <f>6!B16/6!B24</f>
        <v>3.5517816597754255</v>
      </c>
      <c r="C13" s="259">
        <f>6!C16/6!C24</f>
        <v>1.6256259367239028</v>
      </c>
      <c r="D13" s="259">
        <f>6!D16/6!D24</f>
        <v>0.9982305156528741</v>
      </c>
      <c r="E13" s="259">
        <f>6!E16/6!E24</f>
        <v>1.7492966382748922</v>
      </c>
      <c r="F13" s="259">
        <f>6!F16/6!F24</f>
        <v>4.184590862192303</v>
      </c>
      <c r="G13" s="259">
        <f>6!G16/6!G24</f>
        <v>1.6130530956929483</v>
      </c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</row>
    <row r="14" spans="1:28" ht="13.5" thickBot="1">
      <c r="A14" s="78" t="s">
        <v>44</v>
      </c>
      <c r="B14" s="260">
        <f>6!B18/6!B13</f>
        <v>0.8297234173879934</v>
      </c>
      <c r="C14" s="260">
        <f>6!C18/6!C13</f>
        <v>0.7152137421221205</v>
      </c>
      <c r="D14" s="260">
        <f>6!D18/6!D13</f>
        <v>0.6747688516622017</v>
      </c>
      <c r="E14" s="260">
        <f>6!E18/6!E13</f>
        <v>0.7794808165672399</v>
      </c>
      <c r="F14" s="260">
        <f>6!F18/6!F13</f>
        <v>0.8477049334465538</v>
      </c>
      <c r="G14" s="260">
        <f>6!G18/6!G13</f>
        <v>0.706518338951783</v>
      </c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</row>
    <row r="15" spans="1:28" ht="13.5" thickBot="1">
      <c r="A15" s="72" t="s">
        <v>45</v>
      </c>
      <c r="B15" s="77"/>
      <c r="C15" s="77"/>
      <c r="D15" s="77"/>
      <c r="E15" s="77"/>
      <c r="F15" s="77"/>
      <c r="G15" s="77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</row>
    <row r="16" spans="1:28" ht="12.75">
      <c r="A16" s="75" t="s">
        <v>58</v>
      </c>
      <c r="B16" s="261">
        <f>6!B13/6!B18</f>
        <v>1.2052208953533514</v>
      </c>
      <c r="C16" s="261">
        <f>6!C13/6!C18</f>
        <v>1.3981834256048917</v>
      </c>
      <c r="D16" s="261">
        <f>6!D13/6!D18</f>
        <v>1.4819889767238594</v>
      </c>
      <c r="E16" s="261">
        <f>6!E13/6!E18</f>
        <v>1.282905209141523</v>
      </c>
      <c r="F16" s="261">
        <f>6!F13/6!F18</f>
        <v>1.179655751128229</v>
      </c>
      <c r="G16" s="261">
        <f>6!G13/6!G18</f>
        <v>1.4153914270415646</v>
      </c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</row>
    <row r="17" spans="1:28" ht="13.5" thickBot="1">
      <c r="A17" s="78" t="s">
        <v>57</v>
      </c>
      <c r="B17" s="260">
        <f>6!B13/6!B15</f>
        <v>4.445666030929865</v>
      </c>
      <c r="C17" s="260">
        <f>6!C13/6!C15</f>
        <v>4.087692029132705</v>
      </c>
      <c r="D17" s="260">
        <f>6!D13/6!D15</f>
        <v>2.8562191171126354</v>
      </c>
      <c r="E17" s="260">
        <f>6!E13/6!E15</f>
        <v>3.0323227870455765</v>
      </c>
      <c r="F17" s="260">
        <f>6!F13/6!F15</f>
        <v>4.752571851630936</v>
      </c>
      <c r="G17" s="260">
        <f>6!G13/6!G15</f>
        <v>4.28969444066652</v>
      </c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</row>
    <row r="18" spans="1:28" ht="13.5" thickBot="1">
      <c r="A18" s="72" t="s">
        <v>47</v>
      </c>
      <c r="B18" s="77"/>
      <c r="C18" s="77"/>
      <c r="D18" s="77"/>
      <c r="E18" s="77"/>
      <c r="F18" s="77"/>
      <c r="G18" s="77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</row>
    <row r="19" spans="1:28" ht="12.75">
      <c r="A19" s="75" t="s">
        <v>48</v>
      </c>
      <c r="B19" s="261">
        <f>6!B11/6!B16</f>
        <v>0.6232180215887988</v>
      </c>
      <c r="C19" s="261">
        <f>6!C11/6!C16</f>
        <v>0.710221182900323</v>
      </c>
      <c r="D19" s="261">
        <f>6!D11/6!D16</f>
        <v>0.6286361848650925</v>
      </c>
      <c r="E19" s="261">
        <f>6!E11/6!E16</f>
        <v>0.42938844301023077</v>
      </c>
      <c r="F19" s="261">
        <f>6!F11/6!F16</f>
        <v>0.6228977206928207</v>
      </c>
      <c r="G19" s="261">
        <f>6!G11/6!G16</f>
        <v>0.7411831921217774</v>
      </c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</row>
    <row r="20" spans="1:28" ht="13.5" thickBot="1">
      <c r="A20" s="78" t="s">
        <v>46</v>
      </c>
      <c r="B20" s="260">
        <f>6!B13/6!B18</f>
        <v>1.2052208953533514</v>
      </c>
      <c r="C20" s="260">
        <f>6!C13/6!C18</f>
        <v>1.3981834256048917</v>
      </c>
      <c r="D20" s="260">
        <f>6!D13/6!D18</f>
        <v>1.4819889767238594</v>
      </c>
      <c r="E20" s="260">
        <f>6!E13/6!E18</f>
        <v>1.282905209141523</v>
      </c>
      <c r="F20" s="260">
        <f>6!F13/6!F18</f>
        <v>1.179655751128229</v>
      </c>
      <c r="G20" s="260">
        <f>6!G13/6!G18</f>
        <v>1.4153914270415646</v>
      </c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</row>
    <row r="21" spans="1:28" ht="13.5" thickBot="1">
      <c r="A21" s="72" t="s">
        <v>49</v>
      </c>
      <c r="B21" s="77"/>
      <c r="C21" s="77"/>
      <c r="D21" s="77"/>
      <c r="E21" s="77"/>
      <c r="F21" s="77"/>
      <c r="G21" s="77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</row>
    <row r="22" spans="1:28" ht="13.5" thickBot="1">
      <c r="A22" s="80" t="s">
        <v>55</v>
      </c>
      <c r="B22" s="257">
        <f>6!B24/6!B13</f>
        <v>0.1702765826120066</v>
      </c>
      <c r="C22" s="257">
        <f>6!C24/6!C13</f>
        <v>0.28478625787787953</v>
      </c>
      <c r="D22" s="257">
        <f>6!D24/6!D13</f>
        <v>0.32523114833779826</v>
      </c>
      <c r="E22" s="257">
        <f>6!E24/6!E13</f>
        <v>0.22051918343276009</v>
      </c>
      <c r="F22" s="257">
        <f>6!F24/6!F13</f>
        <v>0.15229506655344613</v>
      </c>
      <c r="G22" s="257">
        <f>6!G24/6!G13</f>
        <v>0.293481661048217</v>
      </c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</row>
    <row r="23" spans="1:28" ht="13.5" thickBot="1">
      <c r="A23" s="72" t="s">
        <v>50</v>
      </c>
      <c r="B23" s="77"/>
      <c r="C23" s="77"/>
      <c r="D23" s="77"/>
      <c r="E23" s="77"/>
      <c r="F23" s="77"/>
      <c r="G23" s="77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</row>
    <row r="24" spans="1:28" ht="12.75">
      <c r="A24" s="75" t="s">
        <v>59</v>
      </c>
      <c r="B24" s="261">
        <f>6!B36/6!B28</f>
        <v>0.09532574734718373</v>
      </c>
      <c r="C24" s="261">
        <f>6!C36/6!C28</f>
        <v>0.10136682241319885</v>
      </c>
      <c r="D24" s="261">
        <f>6!D36/6!D28</f>
        <v>0.05236091475869861</v>
      </c>
      <c r="E24" s="261">
        <f>6!E36/6!E28</f>
        <v>0.00016539132451779393</v>
      </c>
      <c r="F24" s="261">
        <f>6!F36/6!F28</f>
        <v>0.1172776735180626</v>
      </c>
      <c r="G24" s="261">
        <f>6!G36/6!G28</f>
        <v>0.14481880246336448</v>
      </c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</row>
    <row r="25" spans="1:28" ht="13.5" thickBot="1">
      <c r="A25" s="78" t="s">
        <v>51</v>
      </c>
      <c r="B25" s="260">
        <f>6!B37/6!B30</f>
        <v>0.03929443919342595</v>
      </c>
      <c r="C25" s="260">
        <f>6!C37/6!C30</f>
        <v>0.02278851390569742</v>
      </c>
      <c r="D25" s="260">
        <f>6!D37/6!D30</f>
        <v>0.03330315085365172</v>
      </c>
      <c r="E25" s="260">
        <f>6!E37/6!E30</f>
        <v>-0.023984297864617362</v>
      </c>
      <c r="F25" s="260">
        <f>6!F37/6!F30</f>
        <v>0.04236901410482982</v>
      </c>
      <c r="G25" s="260">
        <f>6!G37/6!G30</f>
        <v>0.04315065646598643</v>
      </c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</row>
    <row r="26" spans="1:28" ht="13.5" thickBot="1">
      <c r="A26" s="72" t="s">
        <v>52</v>
      </c>
      <c r="B26" s="81"/>
      <c r="C26" s="81"/>
      <c r="D26" s="81"/>
      <c r="E26" s="81"/>
      <c r="F26" s="81"/>
      <c r="G26" s="81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</row>
    <row r="27" spans="1:28" ht="13.5" thickBot="1">
      <c r="A27" s="83" t="s">
        <v>53</v>
      </c>
      <c r="B27" s="265">
        <f>6!B10-6!B15</f>
        <v>-3545</v>
      </c>
      <c r="C27" s="265">
        <f>6!C10-6!C15</f>
        <v>-8157783</v>
      </c>
      <c r="D27" s="265">
        <f>6!D10-6!D15</f>
        <v>774111</v>
      </c>
      <c r="E27" s="265">
        <f>6!E10-6!E15</f>
        <v>-1680715</v>
      </c>
      <c r="F27" s="265">
        <f>6!F10-6!F15</f>
        <v>-777656</v>
      </c>
      <c r="G27" s="265">
        <f>6!G10-6!G15</f>
        <v>-6477068</v>
      </c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</row>
    <row r="28" ht="12.75">
      <c r="A28" s="82" t="s">
        <v>88</v>
      </c>
    </row>
  </sheetData>
  <sheetProtection/>
  <mergeCells count="4">
    <mergeCell ref="A6:A7"/>
    <mergeCell ref="B6:C6"/>
    <mergeCell ref="D6:E6"/>
    <mergeCell ref="F6:G6"/>
  </mergeCells>
  <printOptions/>
  <pageMargins left="1.1023622047244095" right="0.5118110236220472" top="1.0236220472440944" bottom="0.5905511811023623" header="0" footer="0"/>
  <pageSetup horizontalDpi="600" verticalDpi="600" orientation="landscape" scale="90" r:id="rId3"/>
  <legacyDrawing r:id="rId2"/>
  <oleObjects>
    <oleObject progId="MSPhotoEd.3" shapeId="598304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CJ169"/>
  <sheetViews>
    <sheetView zoomScalePageLayoutView="0" workbookViewId="0" topLeftCell="A7">
      <selection activeCell="B21" sqref="B21"/>
    </sheetView>
  </sheetViews>
  <sheetFormatPr defaultColWidth="11.421875" defaultRowHeight="12.75"/>
  <cols>
    <col min="1" max="1" width="34.421875" style="0" customWidth="1"/>
    <col min="2" max="3" width="12.57421875" style="0" customWidth="1"/>
    <col min="4" max="5" width="11.57421875" style="0" bestFit="1" customWidth="1"/>
  </cols>
  <sheetData>
    <row r="1" spans="1:84" ht="13.5">
      <c r="A1" s="23" t="s">
        <v>90</v>
      </c>
      <c r="L1" s="5"/>
      <c r="M1" s="5"/>
      <c r="P1" s="5"/>
      <c r="Q1" s="5"/>
      <c r="R1" s="5"/>
      <c r="S1" s="5"/>
      <c r="BP1" s="3"/>
      <c r="BQ1" s="3"/>
      <c r="CF1" s="13"/>
    </row>
    <row r="2" spans="1:84" ht="13.5">
      <c r="A2" s="24" t="s">
        <v>71</v>
      </c>
      <c r="L2" s="5"/>
      <c r="M2" s="5"/>
      <c r="P2" s="5"/>
      <c r="Q2" s="5"/>
      <c r="R2" s="5"/>
      <c r="S2" s="5"/>
      <c r="BP2" s="3"/>
      <c r="BQ2" s="3"/>
      <c r="CF2" s="13"/>
    </row>
    <row r="3" spans="1:84" ht="13.5">
      <c r="A3" s="23" t="s">
        <v>72</v>
      </c>
      <c r="L3" s="5"/>
      <c r="M3" s="5"/>
      <c r="P3" s="5"/>
      <c r="Q3" s="5"/>
      <c r="R3" s="5"/>
      <c r="S3" s="5"/>
      <c r="BP3" s="3"/>
      <c r="BQ3" s="3"/>
      <c r="CF3" s="13"/>
    </row>
    <row r="4" spans="1:84" ht="13.5">
      <c r="A4" s="23" t="s">
        <v>108</v>
      </c>
      <c r="L4" s="5"/>
      <c r="M4" s="5"/>
      <c r="P4" s="5"/>
      <c r="Q4" s="5"/>
      <c r="R4" s="5"/>
      <c r="S4" s="5"/>
      <c r="BP4" s="3"/>
      <c r="BQ4" s="3"/>
      <c r="CF4" s="13"/>
    </row>
    <row r="5" spans="1:84" ht="14.25" thickBot="1">
      <c r="A5" s="23" t="s">
        <v>68</v>
      </c>
      <c r="L5" s="5"/>
      <c r="M5" s="5"/>
      <c r="P5" s="5"/>
      <c r="Q5" s="5"/>
      <c r="R5" s="5"/>
      <c r="S5" s="5"/>
      <c r="BP5" s="3"/>
      <c r="BQ5" s="3"/>
      <c r="CF5" s="13"/>
    </row>
    <row r="6" spans="1:88" s="2" customFormat="1" ht="15.75" thickBot="1">
      <c r="A6" s="378" t="s">
        <v>56</v>
      </c>
      <c r="B6" s="376" t="s">
        <v>106</v>
      </c>
      <c r="C6" s="377"/>
      <c r="D6" s="376" t="s">
        <v>3</v>
      </c>
      <c r="E6" s="377"/>
      <c r="F6" s="359"/>
      <c r="G6" s="359"/>
      <c r="H6" s="359"/>
      <c r="I6" s="359"/>
      <c r="J6" s="359"/>
      <c r="K6" s="359"/>
      <c r="L6" s="358"/>
      <c r="M6" s="358"/>
      <c r="N6" s="358"/>
      <c r="O6" s="358"/>
      <c r="P6" s="358"/>
      <c r="Q6" s="358"/>
      <c r="R6" s="357"/>
      <c r="S6" s="357"/>
      <c r="T6" s="358"/>
      <c r="U6" s="358"/>
      <c r="V6" s="357"/>
      <c r="W6" s="357"/>
      <c r="X6" s="363"/>
      <c r="Y6" s="363"/>
      <c r="Z6" s="358"/>
      <c r="AA6" s="358"/>
      <c r="AB6" s="361"/>
      <c r="AC6" s="361"/>
      <c r="AD6" s="362"/>
      <c r="AE6" s="362"/>
      <c r="AF6" s="361"/>
      <c r="AG6" s="361"/>
      <c r="AH6" s="360"/>
      <c r="AI6" s="360"/>
      <c r="AJ6" s="361"/>
      <c r="AK6" s="361"/>
      <c r="AL6" s="361"/>
      <c r="AM6" s="361"/>
      <c r="AN6" s="361"/>
      <c r="AO6" s="361"/>
      <c r="AP6" s="358"/>
      <c r="AQ6" s="358"/>
      <c r="AR6" s="358"/>
      <c r="AS6" s="358"/>
      <c r="AT6" s="358"/>
      <c r="AU6" s="358"/>
      <c r="AV6" s="358"/>
      <c r="AW6" s="358"/>
      <c r="AX6" s="360"/>
      <c r="AY6" s="360"/>
      <c r="AZ6" s="361"/>
      <c r="BA6" s="361"/>
      <c r="BB6" s="360"/>
      <c r="BC6" s="360"/>
      <c r="BD6" s="364"/>
      <c r="BE6" s="364"/>
      <c r="BF6" s="361"/>
      <c r="BG6" s="361"/>
      <c r="BH6" s="361"/>
      <c r="BI6" s="361"/>
      <c r="BJ6" s="359"/>
      <c r="BK6" s="359"/>
      <c r="BL6" s="359"/>
      <c r="BM6" s="359"/>
      <c r="BN6" s="362"/>
      <c r="BO6" s="362"/>
      <c r="BP6" s="358"/>
      <c r="BQ6" s="358"/>
      <c r="BR6" s="359"/>
      <c r="BS6" s="359"/>
      <c r="BT6" s="359"/>
      <c r="BU6" s="359"/>
      <c r="BV6" s="359"/>
      <c r="BW6" s="359"/>
      <c r="BX6" s="359"/>
      <c r="BY6" s="359"/>
      <c r="BZ6" s="359"/>
      <c r="CA6" s="359"/>
      <c r="CB6" s="359"/>
      <c r="CC6" s="359"/>
      <c r="CD6" s="359"/>
      <c r="CE6" s="359"/>
      <c r="CF6" s="359"/>
      <c r="CG6" s="359"/>
      <c r="CH6" s="359"/>
      <c r="CI6" s="359"/>
      <c r="CJ6" s="51"/>
    </row>
    <row r="7" spans="1:88" s="2" customFormat="1" ht="13.5" thickBot="1">
      <c r="A7" s="379"/>
      <c r="B7" s="209">
        <v>40695</v>
      </c>
      <c r="C7" s="209">
        <v>41061</v>
      </c>
      <c r="D7" s="209">
        <v>40695</v>
      </c>
      <c r="E7" s="209">
        <v>41061</v>
      </c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51"/>
    </row>
    <row r="8" spans="1:88" s="2" customFormat="1" ht="12.75">
      <c r="A8" s="53" t="s">
        <v>11</v>
      </c>
      <c r="B8" s="225"/>
      <c r="C8" s="225"/>
      <c r="D8" s="226"/>
      <c r="E8" s="2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51"/>
    </row>
    <row r="9" spans="1:88" s="2" customFormat="1" ht="15" customHeight="1">
      <c r="A9" s="54" t="s">
        <v>12</v>
      </c>
      <c r="B9" s="227"/>
      <c r="C9" s="227"/>
      <c r="D9" s="219"/>
      <c r="E9" s="219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51"/>
    </row>
    <row r="10" spans="1:88" ht="15" customHeight="1">
      <c r="A10" s="55" t="s">
        <v>13</v>
      </c>
      <c r="B10" s="60">
        <f aca="true" t="shared" si="0" ref="B10:B37">+D10</f>
        <v>32830677</v>
      </c>
      <c r="C10" s="60">
        <f aca="true" t="shared" si="1" ref="C10:C37">+E10</f>
        <v>23183647</v>
      </c>
      <c r="D10" s="60">
        <v>32830677</v>
      </c>
      <c r="E10" s="60">
        <v>23183647</v>
      </c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5"/>
    </row>
    <row r="11" spans="1:88" ht="15" customHeight="1" thickBot="1">
      <c r="A11" s="55" t="s">
        <v>14</v>
      </c>
      <c r="B11" s="60">
        <f t="shared" si="0"/>
        <v>63694719</v>
      </c>
      <c r="C11" s="60">
        <f t="shared" si="1"/>
        <v>88075277</v>
      </c>
      <c r="D11" s="60">
        <v>63694719</v>
      </c>
      <c r="E11" s="60">
        <v>88075277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5"/>
    </row>
    <row r="12" spans="1:88" ht="15" customHeight="1" thickBot="1">
      <c r="A12" s="55" t="s">
        <v>15</v>
      </c>
      <c r="B12" s="60">
        <f t="shared" si="0"/>
        <v>22486387</v>
      </c>
      <c r="C12" s="60">
        <f t="shared" si="1"/>
        <v>29934475</v>
      </c>
      <c r="D12" s="60">
        <f>119011783-D10-D11</f>
        <v>22486387</v>
      </c>
      <c r="E12" s="60">
        <f>141193399-E10-E11</f>
        <v>29934475</v>
      </c>
      <c r="F12" s="28"/>
      <c r="G12" s="28"/>
      <c r="H12" s="28"/>
      <c r="I12" s="376"/>
      <c r="J12" s="377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5"/>
    </row>
    <row r="13" spans="1:88" s="4" customFormat="1" ht="15" customHeight="1">
      <c r="A13" s="54" t="s">
        <v>16</v>
      </c>
      <c r="B13" s="61">
        <f t="shared" si="0"/>
        <v>119011783</v>
      </c>
      <c r="C13" s="61">
        <f t="shared" si="1"/>
        <v>141193399</v>
      </c>
      <c r="D13" s="62">
        <f>SUM(D10:D12)</f>
        <v>119011783</v>
      </c>
      <c r="E13" s="62">
        <f>SUM(E10:E12)</f>
        <v>141193399</v>
      </c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52"/>
    </row>
    <row r="14" spans="1:88" ht="15" customHeight="1">
      <c r="A14" s="54" t="s">
        <v>17</v>
      </c>
      <c r="B14" s="60">
        <f t="shared" si="0"/>
        <v>0</v>
      </c>
      <c r="C14" s="60">
        <f t="shared" si="1"/>
        <v>0</v>
      </c>
      <c r="D14" s="61"/>
      <c r="E14" s="6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25"/>
    </row>
    <row r="15" spans="1:88" ht="15" customHeight="1">
      <c r="A15" s="55" t="s">
        <v>18</v>
      </c>
      <c r="B15" s="60">
        <f t="shared" si="0"/>
        <v>38094509</v>
      </c>
      <c r="C15" s="60">
        <f t="shared" si="1"/>
        <v>21101680</v>
      </c>
      <c r="D15" s="60">
        <v>38094509</v>
      </c>
      <c r="E15" s="60">
        <v>21101680</v>
      </c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5"/>
    </row>
    <row r="16" spans="1:88" ht="15" customHeight="1">
      <c r="A16" s="56" t="s">
        <v>19</v>
      </c>
      <c r="B16" s="60">
        <f t="shared" si="0"/>
        <v>99371828</v>
      </c>
      <c r="C16" s="60">
        <f t="shared" si="1"/>
        <v>52194963</v>
      </c>
      <c r="D16" s="60">
        <v>99371828</v>
      </c>
      <c r="E16" s="60">
        <v>52194963</v>
      </c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5"/>
    </row>
    <row r="17" spans="1:88" ht="15" customHeight="1">
      <c r="A17" s="55" t="s">
        <v>20</v>
      </c>
      <c r="B17" s="60">
        <f t="shared" si="0"/>
        <v>61543686</v>
      </c>
      <c r="C17" s="60">
        <f t="shared" si="1"/>
        <v>56459699</v>
      </c>
      <c r="D17" s="60">
        <f>199010023-D15-D16</f>
        <v>61543686</v>
      </c>
      <c r="E17" s="60">
        <f>129756342-E15-E16</f>
        <v>56459699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5"/>
    </row>
    <row r="18" spans="1:88" s="4" customFormat="1" ht="15" customHeight="1">
      <c r="A18" s="54" t="s">
        <v>21</v>
      </c>
      <c r="B18" s="61">
        <f t="shared" si="0"/>
        <v>199010023</v>
      </c>
      <c r="C18" s="61">
        <f t="shared" si="1"/>
        <v>129756342</v>
      </c>
      <c r="D18" s="62">
        <f>SUM(D15:D17)</f>
        <v>199010023</v>
      </c>
      <c r="E18" s="62">
        <f>SUM(E15:E17)</f>
        <v>129756342</v>
      </c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52"/>
    </row>
    <row r="19" spans="1:88" ht="15" customHeight="1">
      <c r="A19" s="54" t="s">
        <v>22</v>
      </c>
      <c r="B19" s="60">
        <f t="shared" si="0"/>
        <v>0</v>
      </c>
      <c r="C19" s="60">
        <f t="shared" si="1"/>
        <v>0</v>
      </c>
      <c r="D19" s="61"/>
      <c r="E19" s="6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25"/>
    </row>
    <row r="20" spans="1:88" ht="15" customHeight="1">
      <c r="A20" s="55" t="s">
        <v>23</v>
      </c>
      <c r="B20" s="60">
        <f t="shared" si="0"/>
        <v>1000050</v>
      </c>
      <c r="C20" s="60">
        <f t="shared" si="1"/>
        <v>396000</v>
      </c>
      <c r="D20" s="60">
        <v>1000050</v>
      </c>
      <c r="E20" s="60">
        <v>396000</v>
      </c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5"/>
    </row>
    <row r="21" spans="1:88" s="195" customFormat="1" ht="15" customHeight="1">
      <c r="A21" s="196" t="s">
        <v>24</v>
      </c>
      <c r="B21" s="197">
        <f t="shared" si="0"/>
        <v>-8830473</v>
      </c>
      <c r="C21" s="197">
        <f t="shared" si="1"/>
        <v>-3216047</v>
      </c>
      <c r="D21" s="197">
        <v>-8830473</v>
      </c>
      <c r="E21" s="197">
        <v>-3216047</v>
      </c>
      <c r="F21" s="193"/>
      <c r="G21" s="193"/>
      <c r="H21" s="193"/>
      <c r="I21" s="193"/>
      <c r="J21" s="193"/>
      <c r="K21" s="193"/>
      <c r="L21" s="193"/>
      <c r="M21" s="193"/>
      <c r="N21" s="193"/>
      <c r="O21" s="193"/>
      <c r="P21" s="193"/>
      <c r="Q21" s="193"/>
      <c r="R21" s="193"/>
      <c r="S21" s="193"/>
      <c r="T21" s="193"/>
      <c r="U21" s="193"/>
      <c r="V21" s="193"/>
      <c r="W21" s="193"/>
      <c r="X21" s="193"/>
      <c r="Y21" s="193"/>
      <c r="Z21" s="193"/>
      <c r="AA21" s="193"/>
      <c r="AB21" s="193"/>
      <c r="AC21" s="193"/>
      <c r="AD21" s="193"/>
      <c r="AE21" s="193"/>
      <c r="AF21" s="193"/>
      <c r="AG21" s="193"/>
      <c r="AH21" s="193"/>
      <c r="AI21" s="193"/>
      <c r="AJ21" s="193"/>
      <c r="AK21" s="193"/>
      <c r="AL21" s="193"/>
      <c r="AM21" s="193"/>
      <c r="AN21" s="193"/>
      <c r="AO21" s="193"/>
      <c r="AP21" s="193"/>
      <c r="AQ21" s="193"/>
      <c r="AR21" s="193"/>
      <c r="AS21" s="193"/>
      <c r="AT21" s="193"/>
      <c r="AU21" s="193"/>
      <c r="AV21" s="193"/>
      <c r="AW21" s="193"/>
      <c r="AX21" s="193"/>
      <c r="AY21" s="193"/>
      <c r="AZ21" s="193"/>
      <c r="BA21" s="193"/>
      <c r="BB21" s="193"/>
      <c r="BC21" s="193"/>
      <c r="BD21" s="193"/>
      <c r="BE21" s="193"/>
      <c r="BF21" s="193"/>
      <c r="BG21" s="193"/>
      <c r="BH21" s="193"/>
      <c r="BI21" s="193"/>
      <c r="BJ21" s="193"/>
      <c r="BK21" s="193"/>
      <c r="BL21" s="193"/>
      <c r="BM21" s="193"/>
      <c r="BN21" s="193"/>
      <c r="BO21" s="193"/>
      <c r="BP21" s="193"/>
      <c r="BQ21" s="193"/>
      <c r="BR21" s="193"/>
      <c r="BS21" s="193"/>
      <c r="BT21" s="193"/>
      <c r="BU21" s="193"/>
      <c r="BV21" s="193"/>
      <c r="BW21" s="193"/>
      <c r="BX21" s="193"/>
      <c r="BY21" s="193"/>
      <c r="BZ21" s="193"/>
      <c r="CA21" s="193"/>
      <c r="CB21" s="193"/>
      <c r="CC21" s="193"/>
      <c r="CD21" s="193"/>
      <c r="CE21" s="193"/>
      <c r="CF21" s="193"/>
      <c r="CG21" s="193"/>
      <c r="CH21" s="193"/>
      <c r="CI21" s="193"/>
      <c r="CJ21" s="194"/>
    </row>
    <row r="22" spans="1:88" ht="15" customHeight="1">
      <c r="A22" s="55" t="s">
        <v>25</v>
      </c>
      <c r="B22" s="60">
        <f t="shared" si="0"/>
        <v>-86452170</v>
      </c>
      <c r="C22" s="60">
        <f t="shared" si="1"/>
        <v>-78973</v>
      </c>
      <c r="D22" s="60">
        <v>-86452170</v>
      </c>
      <c r="E22" s="60">
        <v>-78973</v>
      </c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5"/>
    </row>
    <row r="23" spans="1:88" ht="15" customHeight="1">
      <c r="A23" s="55" t="s">
        <v>26</v>
      </c>
      <c r="B23" s="60">
        <f t="shared" si="0"/>
        <v>14284357</v>
      </c>
      <c r="C23" s="60">
        <f t="shared" si="1"/>
        <v>14336077</v>
      </c>
      <c r="D23" s="60">
        <f>98346+14174211+11800</f>
        <v>14284357</v>
      </c>
      <c r="E23" s="60">
        <f>132817+14185107+18153</f>
        <v>14336077</v>
      </c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5"/>
    </row>
    <row r="24" spans="1:88" s="4" customFormat="1" ht="15" customHeight="1">
      <c r="A24" s="54" t="s">
        <v>27</v>
      </c>
      <c r="B24" s="60">
        <f t="shared" si="0"/>
        <v>-79998236</v>
      </c>
      <c r="C24" s="60">
        <f t="shared" si="1"/>
        <v>11437057</v>
      </c>
      <c r="D24" s="62">
        <f>SUM(D20:D23)</f>
        <v>-79998236</v>
      </c>
      <c r="E24" s="62">
        <f>SUM(E20:E23)</f>
        <v>11437057</v>
      </c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52"/>
    </row>
    <row r="25" spans="1:88" s="4" customFormat="1" ht="15" customHeight="1">
      <c r="A25" s="54" t="s">
        <v>28</v>
      </c>
      <c r="B25" s="61">
        <f t="shared" si="0"/>
        <v>119011787</v>
      </c>
      <c r="C25" s="61">
        <f t="shared" si="1"/>
        <v>141193399</v>
      </c>
      <c r="D25" s="62">
        <f>+D24+D18</f>
        <v>119011787</v>
      </c>
      <c r="E25" s="62">
        <f>+E24+E18</f>
        <v>141193399</v>
      </c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52"/>
    </row>
    <row r="26" spans="1:88" ht="15" customHeight="1">
      <c r="A26" s="54" t="s">
        <v>29</v>
      </c>
      <c r="B26" s="60">
        <f t="shared" si="0"/>
        <v>0</v>
      </c>
      <c r="C26" s="60">
        <f t="shared" si="1"/>
        <v>0</v>
      </c>
      <c r="D26" s="87"/>
      <c r="E26" s="87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5"/>
    </row>
    <row r="27" spans="1:88" ht="15" customHeight="1">
      <c r="A27" s="54" t="s">
        <v>30</v>
      </c>
      <c r="B27" s="60">
        <f t="shared" si="0"/>
        <v>0</v>
      </c>
      <c r="C27" s="60">
        <f t="shared" si="1"/>
        <v>0</v>
      </c>
      <c r="D27" s="61"/>
      <c r="E27" s="6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25"/>
    </row>
    <row r="28" spans="1:88" ht="15" customHeight="1">
      <c r="A28" s="56" t="s">
        <v>31</v>
      </c>
      <c r="B28" s="60">
        <f t="shared" si="0"/>
        <v>83470833</v>
      </c>
      <c r="C28" s="60">
        <f t="shared" si="1"/>
        <v>76196925</v>
      </c>
      <c r="D28" s="60">
        <v>83470833</v>
      </c>
      <c r="E28" s="60">
        <v>76196925</v>
      </c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5"/>
    </row>
    <row r="29" spans="1:88" ht="15" customHeight="1">
      <c r="A29" s="56" t="s">
        <v>32</v>
      </c>
      <c r="B29" s="60">
        <f t="shared" si="0"/>
        <v>1366339</v>
      </c>
      <c r="C29" s="60">
        <f t="shared" si="1"/>
        <v>2990554</v>
      </c>
      <c r="D29" s="60">
        <f>989026+180007+197306</f>
        <v>1366339</v>
      </c>
      <c r="E29" s="60">
        <f>51497+5317+2824067+61350+48323</f>
        <v>2990554</v>
      </c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5"/>
    </row>
    <row r="30" spans="1:88" s="4" customFormat="1" ht="15" customHeight="1">
      <c r="A30" s="54" t="s">
        <v>33</v>
      </c>
      <c r="B30" s="61">
        <f t="shared" si="0"/>
        <v>84837172</v>
      </c>
      <c r="C30" s="61">
        <f t="shared" si="1"/>
        <v>79187479</v>
      </c>
      <c r="D30" s="62">
        <f>SUM(D28:D29)</f>
        <v>84837172</v>
      </c>
      <c r="E30" s="62">
        <f>SUM(E28:E29)</f>
        <v>79187479</v>
      </c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52"/>
    </row>
    <row r="31" spans="1:88" ht="15" customHeight="1">
      <c r="A31" s="54" t="s">
        <v>34</v>
      </c>
      <c r="B31" s="60">
        <f t="shared" si="0"/>
        <v>0</v>
      </c>
      <c r="C31" s="60">
        <f t="shared" si="1"/>
        <v>0</v>
      </c>
      <c r="D31" s="61"/>
      <c r="E31" s="6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25"/>
    </row>
    <row r="32" spans="1:88" ht="15" customHeight="1">
      <c r="A32" s="55" t="s">
        <v>63</v>
      </c>
      <c r="B32" s="60">
        <f t="shared" si="0"/>
        <v>86833837</v>
      </c>
      <c r="C32" s="60">
        <f t="shared" si="1"/>
        <v>78119271</v>
      </c>
      <c r="D32" s="60">
        <f>71170442+15663395</f>
        <v>86833837</v>
      </c>
      <c r="E32" s="60">
        <f>62062710+16056561</f>
        <v>78119271</v>
      </c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5"/>
    </row>
    <row r="33" spans="1:88" ht="15" customHeight="1">
      <c r="A33" s="55" t="s">
        <v>35</v>
      </c>
      <c r="B33" s="60">
        <f t="shared" si="0"/>
        <v>6833809</v>
      </c>
      <c r="C33" s="60">
        <f t="shared" si="1"/>
        <v>4284252</v>
      </c>
      <c r="D33" s="60">
        <f>495657+4642716+1674450+20986</f>
        <v>6833809</v>
      </c>
      <c r="E33" s="60">
        <f>747010+153783+3258331+95345+29783</f>
        <v>4284252</v>
      </c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5"/>
    </row>
    <row r="34" spans="1:88" ht="15" customHeight="1">
      <c r="A34" s="55" t="s">
        <v>36</v>
      </c>
      <c r="B34" s="60">
        <f t="shared" si="0"/>
        <v>0</v>
      </c>
      <c r="C34" s="60">
        <f t="shared" si="1"/>
        <v>0</v>
      </c>
      <c r="D34" s="60"/>
      <c r="E34" s="60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5"/>
    </row>
    <row r="35" spans="1:88" s="4" customFormat="1" ht="15" customHeight="1" thickBot="1">
      <c r="A35" s="64" t="s">
        <v>37</v>
      </c>
      <c r="B35" s="228">
        <f t="shared" si="0"/>
        <v>93667646</v>
      </c>
      <c r="C35" s="228">
        <f t="shared" si="1"/>
        <v>82403523</v>
      </c>
      <c r="D35" s="158">
        <f>SUM(D32:D34)</f>
        <v>93667646</v>
      </c>
      <c r="E35" s="158">
        <f>SUM(E32:E34)</f>
        <v>82403523</v>
      </c>
      <c r="F35" s="30"/>
      <c r="G35" s="30"/>
      <c r="H35" s="30"/>
      <c r="I35" s="30"/>
      <c r="J35" s="30" t="s">
        <v>131</v>
      </c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52"/>
    </row>
    <row r="36" spans="1:88" s="5" customFormat="1" ht="15" customHeight="1">
      <c r="A36" s="85" t="s">
        <v>38</v>
      </c>
      <c r="B36" s="229">
        <f t="shared" si="0"/>
        <v>-3363004</v>
      </c>
      <c r="C36" s="229">
        <f t="shared" si="1"/>
        <v>-1922346</v>
      </c>
      <c r="D36" s="159">
        <f>+D28-D32</f>
        <v>-3363004</v>
      </c>
      <c r="E36" s="159">
        <f>+E28-E32</f>
        <v>-1922346</v>
      </c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49"/>
    </row>
    <row r="37" spans="1:88" s="205" customFormat="1" ht="15" customHeight="1" thickBot="1">
      <c r="A37" s="200" t="s">
        <v>39</v>
      </c>
      <c r="B37" s="197">
        <f t="shared" si="0"/>
        <v>-8830474</v>
      </c>
      <c r="C37" s="197">
        <f t="shared" si="1"/>
        <v>-3216044</v>
      </c>
      <c r="D37" s="201">
        <f>+D30-D35</f>
        <v>-8830474</v>
      </c>
      <c r="E37" s="201">
        <f>+E30-E35</f>
        <v>-3216044</v>
      </c>
      <c r="F37" s="206"/>
      <c r="G37" s="206"/>
      <c r="H37" s="206"/>
      <c r="I37" s="206"/>
      <c r="J37" s="206"/>
      <c r="K37" s="206"/>
      <c r="L37" s="206"/>
      <c r="M37" s="206"/>
      <c r="N37" s="206"/>
      <c r="O37" s="206"/>
      <c r="P37" s="206"/>
      <c r="Q37" s="206"/>
      <c r="R37" s="206"/>
      <c r="S37" s="206"/>
      <c r="T37" s="206"/>
      <c r="U37" s="206"/>
      <c r="V37" s="206"/>
      <c r="W37" s="206"/>
      <c r="X37" s="206"/>
      <c r="Y37" s="206"/>
      <c r="Z37" s="206"/>
      <c r="AA37" s="206"/>
      <c r="AB37" s="206"/>
      <c r="AC37" s="206"/>
      <c r="AD37" s="206"/>
      <c r="AE37" s="206"/>
      <c r="AF37" s="206"/>
      <c r="AG37" s="206"/>
      <c r="AH37" s="206"/>
      <c r="AI37" s="206"/>
      <c r="AJ37" s="206"/>
      <c r="AK37" s="206"/>
      <c r="AL37" s="206"/>
      <c r="AM37" s="206"/>
      <c r="AN37" s="206"/>
      <c r="AO37" s="206"/>
      <c r="AP37" s="206"/>
      <c r="AQ37" s="206"/>
      <c r="AR37" s="206"/>
      <c r="AS37" s="206"/>
      <c r="AT37" s="206"/>
      <c r="AU37" s="206"/>
      <c r="AV37" s="206"/>
      <c r="AW37" s="206"/>
      <c r="AX37" s="206"/>
      <c r="AY37" s="206"/>
      <c r="AZ37" s="206"/>
      <c r="BA37" s="206"/>
      <c r="BB37" s="206"/>
      <c r="BC37" s="206"/>
      <c r="BD37" s="206"/>
      <c r="BE37" s="206"/>
      <c r="BF37" s="206"/>
      <c r="BG37" s="206"/>
      <c r="BH37" s="206"/>
      <c r="BI37" s="206"/>
      <c r="BJ37" s="206"/>
      <c r="BK37" s="206"/>
      <c r="BL37" s="206"/>
      <c r="BM37" s="206"/>
      <c r="BN37" s="206"/>
      <c r="BO37" s="206"/>
      <c r="BP37" s="206"/>
      <c r="BQ37" s="206"/>
      <c r="BR37" s="206"/>
      <c r="BS37" s="206"/>
      <c r="BT37" s="206"/>
      <c r="BU37" s="206"/>
      <c r="BV37" s="206"/>
      <c r="BW37" s="206"/>
      <c r="BX37" s="206"/>
      <c r="BY37" s="206"/>
      <c r="BZ37" s="206"/>
      <c r="CA37" s="206"/>
      <c r="CB37" s="206"/>
      <c r="CC37" s="206"/>
      <c r="CD37" s="206"/>
      <c r="CE37" s="206"/>
      <c r="CF37" s="206"/>
      <c r="CG37" s="206"/>
      <c r="CH37" s="206"/>
      <c r="CI37" s="206"/>
      <c r="CJ37" s="204"/>
    </row>
    <row r="38" spans="1:3" s="112" customFormat="1" ht="9.75">
      <c r="A38" s="213" t="s">
        <v>107</v>
      </c>
      <c r="B38" s="155"/>
      <c r="C38" s="155"/>
    </row>
    <row r="39" spans="31:88" ht="15" customHeight="1"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43"/>
      <c r="BE39" s="43"/>
      <c r="BF39" s="36"/>
      <c r="BG39" s="36"/>
      <c r="BH39" s="36"/>
      <c r="BI39" s="36"/>
      <c r="BJ39" s="36"/>
      <c r="BK39" s="36"/>
      <c r="BL39" s="43"/>
      <c r="BM39" s="43"/>
      <c r="BN39" s="36"/>
      <c r="BO39" s="36"/>
      <c r="BP39" s="36"/>
      <c r="BQ39" s="36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25"/>
    </row>
    <row r="40" spans="31:88" ht="15" customHeight="1"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25"/>
    </row>
    <row r="41" spans="31:88" ht="15" customHeight="1"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G41" s="46"/>
      <c r="CH41" s="46"/>
      <c r="CI41" s="46"/>
      <c r="CJ41" s="25"/>
    </row>
    <row r="42" spans="31:88" ht="15" customHeight="1"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B42" s="46"/>
      <c r="CC42" s="46"/>
      <c r="CD42" s="46"/>
      <c r="CE42" s="46"/>
      <c r="CF42" s="46"/>
      <c r="CG42" s="46"/>
      <c r="CH42" s="46"/>
      <c r="CI42" s="46"/>
      <c r="CJ42" s="25"/>
    </row>
    <row r="43" spans="31:88" ht="15" customHeight="1"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BR43" s="45"/>
      <c r="BS43" s="45"/>
      <c r="BT43" s="45"/>
      <c r="BU43" s="45"/>
      <c r="BV43" s="45"/>
      <c r="BW43" s="45"/>
      <c r="BX43" s="45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25"/>
    </row>
    <row r="44" spans="31:88" ht="15" customHeight="1"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BR44" s="45"/>
      <c r="BS44" s="45"/>
      <c r="BT44" s="45"/>
      <c r="BU44" s="45"/>
      <c r="BV44" s="45"/>
      <c r="BW44" s="45"/>
      <c r="BX44" s="45"/>
      <c r="BY44" s="45"/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25"/>
    </row>
    <row r="45" spans="31:88" ht="15" customHeight="1"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25"/>
    </row>
    <row r="46" spans="31:88" ht="15" customHeight="1"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25"/>
    </row>
    <row r="47" spans="31:88" ht="15" customHeight="1"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25"/>
    </row>
    <row r="48" spans="31:88" ht="15" customHeight="1"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45"/>
      <c r="BX48" s="45"/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45"/>
      <c r="CJ48" s="25"/>
    </row>
    <row r="49" spans="31:88" ht="15" customHeight="1"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B49" s="46"/>
      <c r="CC49" s="46"/>
      <c r="CD49" s="46"/>
      <c r="CE49" s="46"/>
      <c r="CF49" s="46"/>
      <c r="CG49" s="46"/>
      <c r="CH49" s="46"/>
      <c r="CI49" s="46"/>
      <c r="CJ49" s="25"/>
    </row>
    <row r="50" spans="31:88" ht="15" customHeight="1"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5"/>
      <c r="BQ50" s="45"/>
      <c r="BR50" s="45"/>
      <c r="BS50" s="45"/>
      <c r="BT50" s="45"/>
      <c r="BU50" s="45"/>
      <c r="BV50" s="45"/>
      <c r="BW50" s="45"/>
      <c r="BX50" s="45"/>
      <c r="BY50" s="45"/>
      <c r="BZ50" s="45"/>
      <c r="CA50" s="45"/>
      <c r="CB50" s="45"/>
      <c r="CC50" s="45"/>
      <c r="CD50" s="45"/>
      <c r="CE50" s="45"/>
      <c r="CF50" s="45"/>
      <c r="CG50" s="45"/>
      <c r="CH50" s="45"/>
      <c r="CI50" s="45"/>
      <c r="CJ50" s="25"/>
    </row>
    <row r="51" spans="31:88" ht="15" customHeight="1"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  <c r="BP51" s="45"/>
      <c r="BQ51" s="45"/>
      <c r="BR51" s="45"/>
      <c r="BS51" s="45"/>
      <c r="BT51" s="45"/>
      <c r="BU51" s="45"/>
      <c r="BV51" s="45"/>
      <c r="BW51" s="45"/>
      <c r="BX51" s="45"/>
      <c r="BY51" s="45"/>
      <c r="BZ51" s="45"/>
      <c r="CA51" s="45"/>
      <c r="CB51" s="45"/>
      <c r="CC51" s="45"/>
      <c r="CD51" s="45"/>
      <c r="CE51" s="45"/>
      <c r="CF51" s="45"/>
      <c r="CG51" s="45"/>
      <c r="CH51" s="45"/>
      <c r="CI51" s="45"/>
      <c r="CJ51" s="25"/>
    </row>
    <row r="52" spans="31:88" ht="15" customHeight="1"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46"/>
      <c r="BX52" s="46"/>
      <c r="BY52" s="46"/>
      <c r="BZ52" s="46"/>
      <c r="CA52" s="46"/>
      <c r="CB52" s="46"/>
      <c r="CC52" s="46"/>
      <c r="CD52" s="46"/>
      <c r="CE52" s="46"/>
      <c r="CF52" s="46"/>
      <c r="CG52" s="46"/>
      <c r="CH52" s="46"/>
      <c r="CI52" s="46"/>
      <c r="CJ52" s="25"/>
    </row>
    <row r="53" spans="31:88" ht="15" customHeight="1"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  <c r="BP53" s="45"/>
      <c r="BQ53" s="45"/>
      <c r="BR53" s="45"/>
      <c r="BS53" s="45"/>
      <c r="BT53" s="45"/>
      <c r="BU53" s="45"/>
      <c r="BV53" s="45"/>
      <c r="BW53" s="45"/>
      <c r="BX53" s="45"/>
      <c r="BY53" s="45"/>
      <c r="BZ53" s="45"/>
      <c r="CA53" s="45"/>
      <c r="CB53" s="45"/>
      <c r="CC53" s="45"/>
      <c r="CD53" s="45"/>
      <c r="CE53" s="45"/>
      <c r="CF53" s="45"/>
      <c r="CG53" s="45"/>
      <c r="CH53" s="45"/>
      <c r="CI53" s="45"/>
      <c r="CJ53" s="25"/>
    </row>
    <row r="54" spans="31:88" ht="15" customHeight="1"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6"/>
      <c r="CA54" s="46"/>
      <c r="CB54" s="46"/>
      <c r="CC54" s="46"/>
      <c r="CD54" s="46"/>
      <c r="CE54" s="46"/>
      <c r="CF54" s="46"/>
      <c r="CG54" s="46"/>
      <c r="CH54" s="46"/>
      <c r="CI54" s="46"/>
      <c r="CJ54" s="25"/>
    </row>
    <row r="55" spans="31:88" ht="15" customHeight="1"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  <c r="BP55" s="45"/>
      <c r="BQ55" s="45"/>
      <c r="BR55" s="45"/>
      <c r="BS55" s="45"/>
      <c r="BT55" s="45"/>
      <c r="BU55" s="45"/>
      <c r="BV55" s="45"/>
      <c r="BW55" s="45"/>
      <c r="BX55" s="45"/>
      <c r="BY55" s="45"/>
      <c r="BZ55" s="45"/>
      <c r="CA55" s="45"/>
      <c r="CB55" s="45"/>
      <c r="CC55" s="45"/>
      <c r="CD55" s="45"/>
      <c r="CE55" s="45"/>
      <c r="CF55" s="45"/>
      <c r="CG55" s="45"/>
      <c r="CH55" s="45"/>
      <c r="CI55" s="45"/>
      <c r="CJ55" s="25"/>
    </row>
    <row r="56" spans="31:88" ht="15" customHeight="1"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  <c r="BP56" s="45"/>
      <c r="BQ56" s="45"/>
      <c r="BR56" s="45"/>
      <c r="BS56" s="45"/>
      <c r="BT56" s="45"/>
      <c r="BU56" s="45"/>
      <c r="BV56" s="45"/>
      <c r="BW56" s="45"/>
      <c r="BX56" s="45"/>
      <c r="BY56" s="45"/>
      <c r="BZ56" s="45"/>
      <c r="CA56" s="45"/>
      <c r="CB56" s="45"/>
      <c r="CC56" s="45"/>
      <c r="CD56" s="45"/>
      <c r="CE56" s="45"/>
      <c r="CF56" s="45"/>
      <c r="CG56" s="45"/>
      <c r="CH56" s="45"/>
      <c r="CI56" s="45"/>
      <c r="CJ56" s="25"/>
    </row>
    <row r="57" spans="31:88" ht="15" customHeight="1"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/>
      <c r="BV57" s="32"/>
      <c r="BW57" s="32"/>
      <c r="BX57" s="32"/>
      <c r="BY57" s="32"/>
      <c r="BZ57" s="32"/>
      <c r="CA57" s="32"/>
      <c r="CB57" s="32"/>
      <c r="CC57" s="32"/>
      <c r="CD57" s="32"/>
      <c r="CE57" s="32"/>
      <c r="CF57" s="32"/>
      <c r="CG57" s="32"/>
      <c r="CH57" s="32"/>
      <c r="CI57" s="32"/>
      <c r="CJ57" s="25"/>
    </row>
    <row r="58" spans="31:88" ht="15" customHeight="1"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7"/>
      <c r="AY58" s="47"/>
      <c r="AZ58" s="47"/>
      <c r="BA58" s="47"/>
      <c r="BB58" s="47"/>
      <c r="BC58" s="47"/>
      <c r="BD58" s="47"/>
      <c r="BE58" s="47"/>
      <c r="BF58" s="47"/>
      <c r="BG58" s="47"/>
      <c r="BH58" s="47"/>
      <c r="BI58" s="47"/>
      <c r="BJ58" s="47"/>
      <c r="BK58" s="47"/>
      <c r="BL58" s="47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7"/>
      <c r="CA58" s="47"/>
      <c r="CB58" s="47"/>
      <c r="CC58" s="47"/>
      <c r="CD58" s="47"/>
      <c r="CE58" s="47"/>
      <c r="CF58" s="47"/>
      <c r="CG58" s="47"/>
      <c r="CH58" s="47"/>
      <c r="CI58" s="47"/>
      <c r="CJ58" s="25"/>
    </row>
    <row r="59" spans="31:88" ht="15" customHeight="1"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3"/>
      <c r="BK59" s="43"/>
      <c r="BL59" s="43"/>
      <c r="BM59" s="43"/>
      <c r="BN59" s="43"/>
      <c r="BO59" s="43"/>
      <c r="BP59" s="43"/>
      <c r="BQ59" s="43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25"/>
    </row>
    <row r="60" spans="31:88" ht="15" customHeight="1"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  <c r="BF60" s="45"/>
      <c r="BG60" s="45"/>
      <c r="BH60" s="45"/>
      <c r="BI60" s="45"/>
      <c r="BJ60" s="45"/>
      <c r="BK60" s="45"/>
      <c r="BL60" s="45"/>
      <c r="BM60" s="45"/>
      <c r="BN60" s="45"/>
      <c r="BO60" s="45"/>
      <c r="BP60" s="45"/>
      <c r="BQ60" s="45"/>
      <c r="BR60" s="45"/>
      <c r="BS60" s="45"/>
      <c r="BT60" s="45"/>
      <c r="BU60" s="45"/>
      <c r="BV60" s="45"/>
      <c r="BW60" s="45"/>
      <c r="BX60" s="45"/>
      <c r="BY60" s="45"/>
      <c r="BZ60" s="45"/>
      <c r="CA60" s="45"/>
      <c r="CB60" s="45"/>
      <c r="CC60" s="45"/>
      <c r="CD60" s="45"/>
      <c r="CE60" s="45"/>
      <c r="CF60" s="45"/>
      <c r="CG60" s="45"/>
      <c r="CH60" s="45"/>
      <c r="CI60" s="45"/>
      <c r="CJ60" s="25"/>
    </row>
    <row r="61" spans="31:88" ht="15" customHeight="1"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  <c r="BK61" s="45"/>
      <c r="BL61" s="45"/>
      <c r="BM61" s="45"/>
      <c r="BN61" s="45"/>
      <c r="BO61" s="45"/>
      <c r="BP61" s="45"/>
      <c r="BQ61" s="45"/>
      <c r="BR61" s="45"/>
      <c r="BS61" s="45"/>
      <c r="BT61" s="45"/>
      <c r="BU61" s="45"/>
      <c r="BV61" s="45"/>
      <c r="BW61" s="45"/>
      <c r="BX61" s="45"/>
      <c r="BY61" s="45"/>
      <c r="BZ61" s="45"/>
      <c r="CA61" s="45"/>
      <c r="CB61" s="45"/>
      <c r="CC61" s="45"/>
      <c r="CD61" s="45"/>
      <c r="CE61" s="45"/>
      <c r="CF61" s="45"/>
      <c r="CG61" s="45"/>
      <c r="CH61" s="45"/>
      <c r="CI61" s="45"/>
      <c r="CJ61" s="25"/>
    </row>
    <row r="62" spans="31:88" ht="15" customHeight="1"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  <c r="BI62" s="45"/>
      <c r="BJ62" s="45"/>
      <c r="BK62" s="45"/>
      <c r="BL62" s="45"/>
      <c r="BM62" s="45"/>
      <c r="BN62" s="45"/>
      <c r="BO62" s="45"/>
      <c r="BP62" s="45"/>
      <c r="BQ62" s="45"/>
      <c r="BR62" s="45"/>
      <c r="BS62" s="45"/>
      <c r="BT62" s="45"/>
      <c r="BU62" s="45"/>
      <c r="BV62" s="45"/>
      <c r="BW62" s="45"/>
      <c r="BX62" s="45"/>
      <c r="BY62" s="45"/>
      <c r="BZ62" s="45"/>
      <c r="CA62" s="45"/>
      <c r="CB62" s="45"/>
      <c r="CC62" s="45"/>
      <c r="CD62" s="45"/>
      <c r="CE62" s="45"/>
      <c r="CF62" s="45"/>
      <c r="CG62" s="45"/>
      <c r="CH62" s="45"/>
      <c r="CI62" s="45"/>
      <c r="CJ62" s="25"/>
    </row>
    <row r="63" spans="31:88" ht="15" customHeight="1"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45"/>
      <c r="BL63" s="45"/>
      <c r="BM63" s="45"/>
      <c r="BN63" s="45"/>
      <c r="BO63" s="45"/>
      <c r="BP63" s="45"/>
      <c r="BQ63" s="45"/>
      <c r="BR63" s="45"/>
      <c r="BS63" s="45"/>
      <c r="BT63" s="45"/>
      <c r="BU63" s="45"/>
      <c r="BV63" s="45"/>
      <c r="BW63" s="45"/>
      <c r="BX63" s="45"/>
      <c r="BY63" s="45"/>
      <c r="BZ63" s="45"/>
      <c r="CA63" s="45"/>
      <c r="CB63" s="45"/>
      <c r="CC63" s="45"/>
      <c r="CD63" s="45"/>
      <c r="CE63" s="45"/>
      <c r="CF63" s="45"/>
      <c r="CG63" s="45"/>
      <c r="CH63" s="45"/>
      <c r="CI63" s="45"/>
      <c r="CJ63" s="25"/>
    </row>
    <row r="64" spans="31:88" ht="15" customHeight="1"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5"/>
      <c r="BY64" s="45"/>
      <c r="BZ64" s="45"/>
      <c r="CA64" s="45"/>
      <c r="CB64" s="45"/>
      <c r="CC64" s="45"/>
      <c r="CD64" s="45"/>
      <c r="CE64" s="45"/>
      <c r="CF64" s="45"/>
      <c r="CG64" s="45"/>
      <c r="CH64" s="45"/>
      <c r="CI64" s="45"/>
      <c r="CJ64" s="25"/>
    </row>
    <row r="65" spans="31:88" ht="15" customHeight="1"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5"/>
      <c r="BJ65" s="45"/>
      <c r="BK65" s="45"/>
      <c r="BL65" s="45"/>
      <c r="BM65" s="45"/>
      <c r="BN65" s="45"/>
      <c r="BO65" s="45"/>
      <c r="BP65" s="45"/>
      <c r="BQ65" s="45"/>
      <c r="BR65" s="45"/>
      <c r="BS65" s="45"/>
      <c r="BT65" s="45"/>
      <c r="BU65" s="45"/>
      <c r="BV65" s="45"/>
      <c r="BW65" s="45"/>
      <c r="BX65" s="45"/>
      <c r="BY65" s="45"/>
      <c r="BZ65" s="45"/>
      <c r="CA65" s="45"/>
      <c r="CB65" s="45"/>
      <c r="CC65" s="45"/>
      <c r="CD65" s="45"/>
      <c r="CE65" s="45"/>
      <c r="CF65" s="45"/>
      <c r="CG65" s="45"/>
      <c r="CH65" s="45"/>
      <c r="CI65" s="45"/>
      <c r="CJ65" s="25"/>
    </row>
    <row r="66" spans="31:88" ht="15" customHeight="1"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45"/>
      <c r="BI66" s="45"/>
      <c r="BJ66" s="45"/>
      <c r="BK66" s="45"/>
      <c r="BL66" s="45"/>
      <c r="BM66" s="45"/>
      <c r="BN66" s="45"/>
      <c r="BO66" s="45"/>
      <c r="BP66" s="45"/>
      <c r="BQ66" s="45"/>
      <c r="BR66" s="45"/>
      <c r="BS66" s="45"/>
      <c r="BT66" s="45"/>
      <c r="BU66" s="45"/>
      <c r="BV66" s="45"/>
      <c r="BW66" s="45"/>
      <c r="BX66" s="45"/>
      <c r="BY66" s="45"/>
      <c r="BZ66" s="45"/>
      <c r="CA66" s="45"/>
      <c r="CB66" s="45"/>
      <c r="CC66" s="45"/>
      <c r="CD66" s="45"/>
      <c r="CE66" s="45"/>
      <c r="CF66" s="45"/>
      <c r="CG66" s="45"/>
      <c r="CH66" s="45"/>
      <c r="CI66" s="45"/>
      <c r="CJ66" s="25"/>
    </row>
    <row r="67" spans="31:88" ht="15" customHeight="1"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  <c r="BM67" s="45"/>
      <c r="BN67" s="45"/>
      <c r="BO67" s="45"/>
      <c r="BP67" s="45"/>
      <c r="BQ67" s="45"/>
      <c r="BR67" s="45"/>
      <c r="BS67" s="45"/>
      <c r="BT67" s="45"/>
      <c r="BU67" s="45"/>
      <c r="BV67" s="45"/>
      <c r="BW67" s="45"/>
      <c r="BX67" s="45"/>
      <c r="BY67" s="45"/>
      <c r="BZ67" s="45"/>
      <c r="CA67" s="45"/>
      <c r="CB67" s="45"/>
      <c r="CC67" s="45"/>
      <c r="CD67" s="45"/>
      <c r="CE67" s="45"/>
      <c r="CF67" s="45"/>
      <c r="CG67" s="45"/>
      <c r="CH67" s="45"/>
      <c r="CI67" s="45"/>
      <c r="CJ67" s="25"/>
    </row>
    <row r="68" spans="31:88" s="2" customFormat="1" ht="15" customHeight="1"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7"/>
      <c r="BS68" s="37"/>
      <c r="BT68" s="37"/>
      <c r="BU68" s="37"/>
      <c r="BV68" s="37"/>
      <c r="BW68" s="37"/>
      <c r="BX68" s="37"/>
      <c r="BY68" s="37"/>
      <c r="BZ68" s="37"/>
      <c r="CA68" s="37"/>
      <c r="CB68" s="37"/>
      <c r="CC68" s="37"/>
      <c r="CD68" s="37"/>
      <c r="CE68" s="37"/>
      <c r="CF68" s="37"/>
      <c r="CG68" s="37"/>
      <c r="CH68" s="37"/>
      <c r="CI68" s="37"/>
      <c r="CJ68" s="51"/>
    </row>
    <row r="69" spans="31:88" s="2" customFormat="1" ht="15" customHeight="1"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6"/>
      <c r="BM69" s="36"/>
      <c r="BN69" s="36"/>
      <c r="BO69" s="36"/>
      <c r="BP69" s="36"/>
      <c r="BQ69" s="36"/>
      <c r="BR69" s="37"/>
      <c r="BS69" s="37"/>
      <c r="BT69" s="37"/>
      <c r="BU69" s="37"/>
      <c r="BV69" s="37"/>
      <c r="BW69" s="37"/>
      <c r="BX69" s="37"/>
      <c r="BY69" s="37"/>
      <c r="BZ69" s="37"/>
      <c r="CA69" s="37"/>
      <c r="CB69" s="37"/>
      <c r="CC69" s="37"/>
      <c r="CD69" s="37"/>
      <c r="CE69" s="37"/>
      <c r="CF69" s="37"/>
      <c r="CG69" s="37"/>
      <c r="CH69" s="37"/>
      <c r="CI69" s="37"/>
      <c r="CJ69" s="51"/>
    </row>
    <row r="70" spans="31:88" s="2" customFormat="1" ht="15" customHeight="1"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9"/>
      <c r="BE70" s="39"/>
      <c r="BF70" s="36"/>
      <c r="BG70" s="36"/>
      <c r="BH70" s="36"/>
      <c r="BI70" s="36"/>
      <c r="BJ70" s="36"/>
      <c r="BK70" s="36"/>
      <c r="BL70" s="39"/>
      <c r="BM70" s="39"/>
      <c r="BN70" s="36"/>
      <c r="BO70" s="36"/>
      <c r="BP70" s="36"/>
      <c r="BQ70" s="36"/>
      <c r="BR70" s="37"/>
      <c r="BS70" s="37"/>
      <c r="BT70" s="37"/>
      <c r="BU70" s="37"/>
      <c r="BV70" s="37"/>
      <c r="BW70" s="37"/>
      <c r="BX70" s="37"/>
      <c r="BY70" s="37"/>
      <c r="BZ70" s="37"/>
      <c r="CA70" s="37"/>
      <c r="CB70" s="37"/>
      <c r="CC70" s="37"/>
      <c r="CD70" s="37"/>
      <c r="CE70" s="37"/>
      <c r="CF70" s="37"/>
      <c r="CG70" s="37"/>
      <c r="CH70" s="37"/>
      <c r="CI70" s="37"/>
      <c r="CJ70" s="51"/>
    </row>
    <row r="71" spans="31:88" ht="15" customHeight="1"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25"/>
    </row>
    <row r="72" spans="31:88" ht="15" customHeight="1"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25"/>
    </row>
    <row r="73" spans="31:88" ht="15" customHeight="1"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25"/>
    </row>
    <row r="74" spans="31:88" ht="15" customHeight="1"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25"/>
    </row>
    <row r="75" spans="31:88" ht="15" customHeight="1"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25"/>
    </row>
    <row r="76" spans="31:88" ht="15" customHeight="1"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25"/>
    </row>
    <row r="77" spans="31:88" ht="15" customHeight="1"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25"/>
    </row>
    <row r="78" spans="31:88" ht="15" customHeight="1"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25"/>
    </row>
    <row r="79" spans="31:88" ht="15" customHeight="1"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25"/>
    </row>
    <row r="80" spans="31:88" ht="15" customHeight="1"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25"/>
    </row>
    <row r="81" spans="31:88" ht="15" customHeight="1"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25"/>
    </row>
    <row r="82" spans="31:88" ht="15" customHeight="1"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25"/>
    </row>
    <row r="83" spans="31:88" ht="15" customHeight="1"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25"/>
    </row>
    <row r="84" spans="31:88" ht="15" customHeight="1"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25"/>
    </row>
    <row r="85" spans="31:88" ht="15" customHeight="1"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25"/>
    </row>
    <row r="86" spans="31:88" ht="15" customHeight="1"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1"/>
      <c r="BF86" s="41"/>
      <c r="BG86" s="41"/>
      <c r="BH86" s="41"/>
      <c r="BI86" s="41"/>
      <c r="BJ86" s="41"/>
      <c r="BK86" s="41"/>
      <c r="BL86" s="41"/>
      <c r="BM86" s="41"/>
      <c r="BN86" s="41"/>
      <c r="BO86" s="41"/>
      <c r="BP86" s="41"/>
      <c r="BQ86" s="41"/>
      <c r="BR86" s="41"/>
      <c r="BS86" s="41"/>
      <c r="BT86" s="41"/>
      <c r="BU86" s="41"/>
      <c r="BV86" s="41"/>
      <c r="BW86" s="41"/>
      <c r="BX86" s="41"/>
      <c r="BY86" s="41"/>
      <c r="BZ86" s="41"/>
      <c r="CA86" s="41"/>
      <c r="CB86" s="41"/>
      <c r="CC86" s="41"/>
      <c r="CD86" s="41"/>
      <c r="CE86" s="41"/>
      <c r="CF86" s="41"/>
      <c r="CG86" s="41"/>
      <c r="CH86" s="41"/>
      <c r="CI86" s="41"/>
      <c r="CJ86" s="25"/>
    </row>
    <row r="87" spans="31:88" ht="15" customHeight="1"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/>
      <c r="BD87" s="41"/>
      <c r="BE87" s="41"/>
      <c r="BF87" s="41"/>
      <c r="BG87" s="41"/>
      <c r="BH87" s="41"/>
      <c r="BI87" s="41"/>
      <c r="BJ87" s="41"/>
      <c r="BK87" s="41"/>
      <c r="BL87" s="41"/>
      <c r="BM87" s="41"/>
      <c r="BN87" s="41"/>
      <c r="BO87" s="41"/>
      <c r="BP87" s="41"/>
      <c r="BQ87" s="41"/>
      <c r="BR87" s="41"/>
      <c r="BS87" s="41"/>
      <c r="BT87" s="41"/>
      <c r="BU87" s="41"/>
      <c r="BV87" s="41"/>
      <c r="BW87" s="41"/>
      <c r="BX87" s="41"/>
      <c r="BY87" s="41"/>
      <c r="BZ87" s="41"/>
      <c r="CA87" s="41"/>
      <c r="CB87" s="41"/>
      <c r="CC87" s="41"/>
      <c r="CD87" s="41"/>
      <c r="CE87" s="41"/>
      <c r="CF87" s="41"/>
      <c r="CG87" s="41"/>
      <c r="CH87" s="41"/>
      <c r="CI87" s="41"/>
      <c r="CJ87" s="25"/>
    </row>
    <row r="88" spans="31:88" ht="15" customHeight="1"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25"/>
    </row>
    <row r="89" spans="31:88" ht="15" customHeight="1"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25"/>
    </row>
    <row r="90" spans="31:88" ht="15" customHeight="1"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25"/>
    </row>
    <row r="91" spans="31:88" ht="15" customHeight="1"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1"/>
      <c r="AS91" s="41"/>
      <c r="AT91" s="41"/>
      <c r="AU91" s="41"/>
      <c r="AV91" s="41"/>
      <c r="AW91" s="41"/>
      <c r="AX91" s="41"/>
      <c r="AY91" s="41"/>
      <c r="AZ91" s="41"/>
      <c r="BA91" s="41"/>
      <c r="BB91" s="41"/>
      <c r="BC91" s="41"/>
      <c r="BD91" s="41"/>
      <c r="BE91" s="41"/>
      <c r="BF91" s="41"/>
      <c r="BG91" s="41"/>
      <c r="BH91" s="41"/>
      <c r="BI91" s="41"/>
      <c r="BJ91" s="41"/>
      <c r="BK91" s="41"/>
      <c r="BL91" s="41"/>
      <c r="BM91" s="41"/>
      <c r="BN91" s="41"/>
      <c r="BO91" s="41"/>
      <c r="BP91" s="41"/>
      <c r="BQ91" s="41"/>
      <c r="BR91" s="41"/>
      <c r="BS91" s="41"/>
      <c r="BT91" s="41"/>
      <c r="BU91" s="41"/>
      <c r="BV91" s="41"/>
      <c r="BW91" s="41"/>
      <c r="BX91" s="41"/>
      <c r="BY91" s="41"/>
      <c r="BZ91" s="41"/>
      <c r="CA91" s="41"/>
      <c r="CB91" s="41"/>
      <c r="CC91" s="41"/>
      <c r="CD91" s="41"/>
      <c r="CE91" s="41"/>
      <c r="CF91" s="41"/>
      <c r="CG91" s="41"/>
      <c r="CH91" s="41"/>
      <c r="CI91" s="41"/>
      <c r="CJ91" s="25"/>
    </row>
    <row r="92" spans="31:88" ht="15" customHeight="1"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25"/>
    </row>
    <row r="93" spans="31:88" ht="15" customHeight="1"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25"/>
    </row>
    <row r="94" spans="31:88" ht="15" customHeight="1"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25"/>
    </row>
    <row r="95" spans="31:88" ht="15" customHeight="1"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25"/>
    </row>
    <row r="96" spans="31:88" ht="15" customHeight="1"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25"/>
    </row>
    <row r="97" spans="31:88" ht="15" customHeight="1"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43"/>
      <c r="BE97" s="43"/>
      <c r="BF97" s="36"/>
      <c r="BG97" s="36"/>
      <c r="BH97" s="36"/>
      <c r="BI97" s="36"/>
      <c r="BJ97" s="36"/>
      <c r="BK97" s="36"/>
      <c r="BL97" s="43"/>
      <c r="BM97" s="43"/>
      <c r="BN97" s="36"/>
      <c r="BO97" s="36"/>
      <c r="BP97" s="36"/>
      <c r="BQ97" s="36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25"/>
    </row>
    <row r="98" spans="31:88" ht="15" customHeight="1"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6"/>
      <c r="AY98" s="36"/>
      <c r="AZ98" s="36"/>
      <c r="BA98" s="36"/>
      <c r="BB98" s="36"/>
      <c r="BC98" s="36"/>
      <c r="BD98" s="43"/>
      <c r="BE98" s="43"/>
      <c r="BF98" s="36"/>
      <c r="BG98" s="36"/>
      <c r="BH98" s="36"/>
      <c r="BI98" s="36"/>
      <c r="BJ98" s="36"/>
      <c r="BK98" s="36"/>
      <c r="BL98" s="43"/>
      <c r="BM98" s="43"/>
      <c r="BN98" s="36"/>
      <c r="BO98" s="36"/>
      <c r="BP98" s="36"/>
      <c r="BQ98" s="36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25"/>
    </row>
    <row r="99" spans="31:88" ht="15" customHeight="1">
      <c r="AE99" s="50"/>
      <c r="AF99" s="44"/>
      <c r="AG99" s="50"/>
      <c r="AH99" s="44"/>
      <c r="AI99" s="50"/>
      <c r="AJ99" s="44"/>
      <c r="AK99" s="50"/>
      <c r="AL99" s="44"/>
      <c r="AM99" s="50"/>
      <c r="AN99" s="44"/>
      <c r="AO99" s="50"/>
      <c r="AP99" s="44"/>
      <c r="AQ99" s="50"/>
      <c r="AR99" s="44"/>
      <c r="AS99" s="50"/>
      <c r="AT99" s="44"/>
      <c r="AU99" s="50"/>
      <c r="AV99" s="44"/>
      <c r="AW99" s="50"/>
      <c r="AX99" s="44"/>
      <c r="AY99" s="50"/>
      <c r="AZ99" s="44"/>
      <c r="BA99" s="50"/>
      <c r="BB99" s="44"/>
      <c r="BC99" s="50"/>
      <c r="BD99" s="44"/>
      <c r="BE99" s="50"/>
      <c r="BF99" s="44"/>
      <c r="BG99" s="50"/>
      <c r="BH99" s="44"/>
      <c r="BI99" s="50"/>
      <c r="BJ99" s="44"/>
      <c r="BK99" s="50"/>
      <c r="BL99" s="44"/>
      <c r="BM99" s="50"/>
      <c r="BN99" s="44"/>
      <c r="BO99" s="50"/>
      <c r="BP99" s="44"/>
      <c r="BQ99" s="50"/>
      <c r="BR99" s="44"/>
      <c r="BS99" s="50"/>
      <c r="BT99" s="44"/>
      <c r="BU99" s="50"/>
      <c r="BV99" s="44"/>
      <c r="BW99" s="50"/>
      <c r="BX99" s="44"/>
      <c r="BY99" s="50"/>
      <c r="BZ99" s="44"/>
      <c r="CA99" s="50"/>
      <c r="CB99" s="44"/>
      <c r="CC99" s="50"/>
      <c r="CD99" s="44"/>
      <c r="CE99" s="50"/>
      <c r="CF99" s="44"/>
      <c r="CG99" s="50"/>
      <c r="CH99" s="44"/>
      <c r="CI99" s="50"/>
      <c r="CJ99" s="44"/>
    </row>
    <row r="100" spans="31:88" ht="15" customHeight="1">
      <c r="AE100" s="50"/>
      <c r="AF100" s="44"/>
      <c r="AG100" s="50"/>
      <c r="AH100" s="44"/>
      <c r="AI100" s="50"/>
      <c r="AJ100" s="44"/>
      <c r="AK100" s="50"/>
      <c r="AL100" s="44"/>
      <c r="AM100" s="50"/>
      <c r="AN100" s="44"/>
      <c r="AO100" s="50"/>
      <c r="AP100" s="44"/>
      <c r="AQ100" s="50"/>
      <c r="AR100" s="44"/>
      <c r="AS100" s="50"/>
      <c r="AT100" s="44"/>
      <c r="AU100" s="50"/>
      <c r="AV100" s="44"/>
      <c r="AW100" s="50"/>
      <c r="AX100" s="44"/>
      <c r="AY100" s="50"/>
      <c r="AZ100" s="44"/>
      <c r="BA100" s="50"/>
      <c r="BB100" s="44"/>
      <c r="BC100" s="50"/>
      <c r="BD100" s="44"/>
      <c r="BE100" s="50"/>
      <c r="BF100" s="44"/>
      <c r="BG100" s="50"/>
      <c r="BH100" s="44"/>
      <c r="BI100" s="50"/>
      <c r="BJ100" s="44"/>
      <c r="BK100" s="50"/>
      <c r="BL100" s="44"/>
      <c r="BM100" s="50"/>
      <c r="BN100" s="44"/>
      <c r="BO100" s="50"/>
      <c r="BP100" s="44"/>
      <c r="BQ100" s="50"/>
      <c r="BR100" s="44"/>
      <c r="BS100" s="50"/>
      <c r="BT100" s="44"/>
      <c r="BU100" s="50"/>
      <c r="BV100" s="44"/>
      <c r="BW100" s="50"/>
      <c r="BX100" s="44"/>
      <c r="BY100" s="50"/>
      <c r="BZ100" s="44"/>
      <c r="CA100" s="50"/>
      <c r="CB100" s="44"/>
      <c r="CC100" s="50"/>
      <c r="CD100" s="44"/>
      <c r="CE100" s="50"/>
      <c r="CF100" s="44"/>
      <c r="CG100" s="50"/>
      <c r="CH100" s="44"/>
      <c r="CI100" s="50"/>
      <c r="CJ100" s="44"/>
    </row>
    <row r="101" spans="31:88" ht="15" customHeight="1">
      <c r="AE101" s="50"/>
      <c r="AF101" s="44"/>
      <c r="AG101" s="50"/>
      <c r="AH101" s="44"/>
      <c r="AI101" s="50"/>
      <c r="AJ101" s="44"/>
      <c r="AK101" s="50"/>
      <c r="AL101" s="44"/>
      <c r="AM101" s="50"/>
      <c r="AN101" s="44"/>
      <c r="AO101" s="50"/>
      <c r="AP101" s="44"/>
      <c r="AQ101" s="50"/>
      <c r="AR101" s="44"/>
      <c r="AS101" s="50"/>
      <c r="AT101" s="44"/>
      <c r="AU101" s="50"/>
      <c r="AV101" s="44"/>
      <c r="AW101" s="50"/>
      <c r="AX101" s="44"/>
      <c r="AY101" s="50"/>
      <c r="AZ101" s="44"/>
      <c r="BA101" s="50"/>
      <c r="BB101" s="44"/>
      <c r="BC101" s="50"/>
      <c r="BD101" s="44"/>
      <c r="BE101" s="50"/>
      <c r="BF101" s="44"/>
      <c r="BG101" s="50"/>
      <c r="BH101" s="44"/>
      <c r="BI101" s="50"/>
      <c r="BJ101" s="44"/>
      <c r="BK101" s="50"/>
      <c r="BL101" s="44"/>
      <c r="BM101" s="50"/>
      <c r="BN101" s="44"/>
      <c r="BO101" s="50"/>
      <c r="BP101" s="44"/>
      <c r="BQ101" s="50"/>
      <c r="BR101" s="44"/>
      <c r="BS101" s="50"/>
      <c r="BT101" s="44"/>
      <c r="BU101" s="50"/>
      <c r="BV101" s="44"/>
      <c r="BW101" s="50"/>
      <c r="BX101" s="44"/>
      <c r="BY101" s="50"/>
      <c r="BZ101" s="44"/>
      <c r="CA101" s="50"/>
      <c r="CB101" s="44"/>
      <c r="CC101" s="50"/>
      <c r="CD101" s="44"/>
      <c r="CE101" s="50"/>
      <c r="CF101" s="44"/>
      <c r="CG101" s="50"/>
      <c r="CH101" s="44"/>
      <c r="CI101" s="50"/>
      <c r="CJ101" s="44"/>
    </row>
    <row r="102" spans="31:88" ht="15" customHeight="1">
      <c r="AE102" s="50"/>
      <c r="AF102" s="44"/>
      <c r="AG102" s="50"/>
      <c r="AH102" s="44"/>
      <c r="AI102" s="50"/>
      <c r="AJ102" s="44"/>
      <c r="AK102" s="50"/>
      <c r="AL102" s="44"/>
      <c r="AM102" s="50"/>
      <c r="AN102" s="44"/>
      <c r="AO102" s="50"/>
      <c r="AP102" s="44"/>
      <c r="AQ102" s="50"/>
      <c r="AR102" s="44"/>
      <c r="AS102" s="50"/>
      <c r="AT102" s="44"/>
      <c r="AU102" s="50"/>
      <c r="AV102" s="44"/>
      <c r="AW102" s="50"/>
      <c r="AX102" s="44"/>
      <c r="AY102" s="50"/>
      <c r="AZ102" s="44"/>
      <c r="BA102" s="50"/>
      <c r="BB102" s="44"/>
      <c r="BC102" s="50"/>
      <c r="BD102" s="44"/>
      <c r="BE102" s="50"/>
      <c r="BF102" s="44"/>
      <c r="BG102" s="50"/>
      <c r="BH102" s="44"/>
      <c r="BI102" s="50"/>
      <c r="BJ102" s="44"/>
      <c r="BK102" s="50"/>
      <c r="BL102" s="44"/>
      <c r="BM102" s="50"/>
      <c r="BN102" s="44"/>
      <c r="BO102" s="50"/>
      <c r="BP102" s="44"/>
      <c r="BQ102" s="50"/>
      <c r="BR102" s="44"/>
      <c r="BS102" s="50"/>
      <c r="BT102" s="44"/>
      <c r="BU102" s="50"/>
      <c r="BV102" s="44"/>
      <c r="BW102" s="50"/>
      <c r="BX102" s="44"/>
      <c r="BY102" s="50"/>
      <c r="BZ102" s="44"/>
      <c r="CA102" s="50"/>
      <c r="CB102" s="44"/>
      <c r="CC102" s="50"/>
      <c r="CD102" s="44"/>
      <c r="CE102" s="50"/>
      <c r="CF102" s="44"/>
      <c r="CG102" s="50"/>
      <c r="CH102" s="44"/>
      <c r="CI102" s="50"/>
      <c r="CJ102" s="44"/>
    </row>
    <row r="103" spans="31:88" ht="15" customHeight="1">
      <c r="AE103" s="44"/>
      <c r="AF103" s="44"/>
      <c r="AG103" s="44"/>
      <c r="AH103" s="44"/>
      <c r="AI103" s="44"/>
      <c r="AJ103" s="44"/>
      <c r="AK103" s="44"/>
      <c r="AL103" s="44"/>
      <c r="AM103" s="44"/>
      <c r="AN103" s="44"/>
      <c r="AO103" s="44"/>
      <c r="AP103" s="44"/>
      <c r="AQ103" s="44"/>
      <c r="AR103" s="44"/>
      <c r="AS103" s="44"/>
      <c r="AT103" s="44"/>
      <c r="AU103" s="44"/>
      <c r="AV103" s="44"/>
      <c r="AW103" s="44"/>
      <c r="AX103" s="44"/>
      <c r="AY103" s="44"/>
      <c r="AZ103" s="44"/>
      <c r="BA103" s="44"/>
      <c r="BB103" s="44"/>
      <c r="BC103" s="44"/>
      <c r="BD103" s="44"/>
      <c r="BE103" s="44"/>
      <c r="BF103" s="44"/>
      <c r="BG103" s="44"/>
      <c r="BH103" s="44"/>
      <c r="BI103" s="44"/>
      <c r="BJ103" s="44"/>
      <c r="BK103" s="44"/>
      <c r="BL103" s="44"/>
      <c r="BM103" s="44"/>
      <c r="BN103" s="44"/>
      <c r="BO103" s="44"/>
      <c r="BP103" s="44"/>
      <c r="BQ103" s="44"/>
      <c r="BR103" s="44"/>
      <c r="BS103" s="44"/>
      <c r="BT103" s="44"/>
      <c r="BU103" s="44"/>
      <c r="BV103" s="44"/>
      <c r="BW103" s="44"/>
      <c r="BX103" s="44"/>
      <c r="BY103" s="44"/>
      <c r="BZ103" s="44"/>
      <c r="CA103" s="44"/>
      <c r="CB103" s="44"/>
      <c r="CC103" s="44"/>
      <c r="CD103" s="44"/>
      <c r="CE103" s="44"/>
      <c r="CF103" s="44"/>
      <c r="CG103" s="44"/>
      <c r="CH103" s="44"/>
      <c r="CI103" s="44"/>
      <c r="CJ103" s="44"/>
    </row>
    <row r="104" spans="31:88" ht="15" customHeight="1">
      <c r="AE104" s="44"/>
      <c r="AF104" s="44"/>
      <c r="AG104" s="44"/>
      <c r="AH104" s="44"/>
      <c r="AI104" s="44"/>
      <c r="AJ104" s="44"/>
      <c r="AK104" s="44"/>
      <c r="AL104" s="44"/>
      <c r="AM104" s="44"/>
      <c r="AN104" s="44"/>
      <c r="AO104" s="44"/>
      <c r="AP104" s="44"/>
      <c r="AQ104" s="44"/>
      <c r="AR104" s="44"/>
      <c r="AS104" s="44"/>
      <c r="AT104" s="44"/>
      <c r="AU104" s="44"/>
      <c r="AV104" s="44"/>
      <c r="AW104" s="44"/>
      <c r="AX104" s="44"/>
      <c r="AY104" s="44"/>
      <c r="AZ104" s="44"/>
      <c r="BA104" s="44"/>
      <c r="BB104" s="44"/>
      <c r="BC104" s="44"/>
      <c r="BD104" s="44"/>
      <c r="BE104" s="44"/>
      <c r="BF104" s="44"/>
      <c r="BG104" s="44"/>
      <c r="BH104" s="44"/>
      <c r="BI104" s="44"/>
      <c r="BJ104" s="44"/>
      <c r="BK104" s="44"/>
      <c r="BL104" s="44"/>
      <c r="BM104" s="44"/>
      <c r="BN104" s="44"/>
      <c r="BO104" s="44"/>
      <c r="BP104" s="44"/>
      <c r="BQ104" s="44"/>
      <c r="BR104" s="44"/>
      <c r="BS104" s="44"/>
      <c r="BT104" s="44"/>
      <c r="BU104" s="44"/>
      <c r="BV104" s="44"/>
      <c r="BW104" s="44"/>
      <c r="BX104" s="44"/>
      <c r="BY104" s="44"/>
      <c r="BZ104" s="44"/>
      <c r="CA104" s="44"/>
      <c r="CB104" s="44"/>
      <c r="CC104" s="44"/>
      <c r="CD104" s="44"/>
      <c r="CE104" s="44"/>
      <c r="CF104" s="44"/>
      <c r="CG104" s="44"/>
      <c r="CH104" s="44"/>
      <c r="CI104" s="44"/>
      <c r="CJ104" s="44"/>
    </row>
    <row r="105" spans="31:88" ht="15" customHeight="1">
      <c r="AE105" s="44"/>
      <c r="AF105" s="44"/>
      <c r="AG105" s="44"/>
      <c r="AH105" s="44"/>
      <c r="AI105" s="44"/>
      <c r="AJ105" s="44"/>
      <c r="AK105" s="44"/>
      <c r="AL105" s="44"/>
      <c r="AM105" s="44"/>
      <c r="AN105" s="44"/>
      <c r="AO105" s="44"/>
      <c r="AP105" s="44"/>
      <c r="AQ105" s="44"/>
      <c r="AR105" s="44"/>
      <c r="AS105" s="44"/>
      <c r="AT105" s="44"/>
      <c r="AU105" s="44"/>
      <c r="AV105" s="44"/>
      <c r="AW105" s="44"/>
      <c r="AX105" s="44"/>
      <c r="AY105" s="44"/>
      <c r="AZ105" s="44"/>
      <c r="BA105" s="44"/>
      <c r="BB105" s="44"/>
      <c r="BC105" s="44"/>
      <c r="BD105" s="44"/>
      <c r="BE105" s="44"/>
      <c r="BF105" s="44"/>
      <c r="BG105" s="44"/>
      <c r="BH105" s="44"/>
      <c r="BI105" s="44"/>
      <c r="BJ105" s="44"/>
      <c r="BK105" s="44"/>
      <c r="BL105" s="44"/>
      <c r="BM105" s="44"/>
      <c r="BN105" s="44"/>
      <c r="BO105" s="44"/>
      <c r="BP105" s="44"/>
      <c r="BQ105" s="44"/>
      <c r="BR105" s="44"/>
      <c r="BS105" s="44"/>
      <c r="BT105" s="44"/>
      <c r="BU105" s="44"/>
      <c r="BV105" s="44"/>
      <c r="BW105" s="44"/>
      <c r="BX105" s="44"/>
      <c r="BY105" s="44"/>
      <c r="BZ105" s="44"/>
      <c r="CA105" s="44"/>
      <c r="CB105" s="44"/>
      <c r="CC105" s="44"/>
      <c r="CD105" s="44"/>
      <c r="CE105" s="44"/>
      <c r="CF105" s="44"/>
      <c r="CG105" s="44"/>
      <c r="CH105" s="44"/>
      <c r="CI105" s="44"/>
      <c r="CJ105" s="44"/>
    </row>
    <row r="106" spans="31:88" ht="15" customHeight="1">
      <c r="AE106" s="44"/>
      <c r="AF106" s="44"/>
      <c r="AG106" s="44"/>
      <c r="AH106" s="44"/>
      <c r="AI106" s="44"/>
      <c r="AJ106" s="44"/>
      <c r="AK106" s="44"/>
      <c r="AL106" s="44"/>
      <c r="AM106" s="44"/>
      <c r="AN106" s="44"/>
      <c r="AO106" s="44"/>
      <c r="AP106" s="44"/>
      <c r="AQ106" s="44"/>
      <c r="AR106" s="44"/>
      <c r="AS106" s="44"/>
      <c r="AT106" s="44"/>
      <c r="AU106" s="44"/>
      <c r="AV106" s="44"/>
      <c r="AW106" s="44"/>
      <c r="AX106" s="44"/>
      <c r="AY106" s="44"/>
      <c r="AZ106" s="44"/>
      <c r="BA106" s="44"/>
      <c r="BB106" s="44"/>
      <c r="BC106" s="44"/>
      <c r="BD106" s="44"/>
      <c r="BE106" s="44"/>
      <c r="BF106" s="44"/>
      <c r="BG106" s="44"/>
      <c r="BH106" s="44"/>
      <c r="BI106" s="44"/>
      <c r="BJ106" s="44"/>
      <c r="BK106" s="44"/>
      <c r="BL106" s="44"/>
      <c r="BM106" s="44"/>
      <c r="BN106" s="44"/>
      <c r="BO106" s="44"/>
      <c r="BP106" s="44"/>
      <c r="BQ106" s="44"/>
      <c r="BR106" s="44"/>
      <c r="BS106" s="44"/>
      <c r="BT106" s="44"/>
      <c r="BU106" s="44"/>
      <c r="BV106" s="44"/>
      <c r="BW106" s="44"/>
      <c r="BX106" s="44"/>
      <c r="BY106" s="44"/>
      <c r="BZ106" s="44"/>
      <c r="CA106" s="44"/>
      <c r="CB106" s="44"/>
      <c r="CC106" s="44"/>
      <c r="CD106" s="44"/>
      <c r="CE106" s="44"/>
      <c r="CF106" s="44"/>
      <c r="CG106" s="44"/>
      <c r="CH106" s="44"/>
      <c r="CI106" s="44"/>
      <c r="CJ106" s="44"/>
    </row>
    <row r="107" spans="31:88" ht="15" customHeight="1"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  <c r="AO107" s="44"/>
      <c r="AP107" s="44"/>
      <c r="AQ107" s="44"/>
      <c r="AR107" s="44"/>
      <c r="AS107" s="44"/>
      <c r="AT107" s="44"/>
      <c r="AU107" s="44"/>
      <c r="AV107" s="44"/>
      <c r="AW107" s="44"/>
      <c r="AX107" s="44"/>
      <c r="AY107" s="44"/>
      <c r="AZ107" s="44"/>
      <c r="BA107" s="44"/>
      <c r="BB107" s="44"/>
      <c r="BC107" s="44"/>
      <c r="BD107" s="44"/>
      <c r="BE107" s="44"/>
      <c r="BF107" s="44"/>
      <c r="BG107" s="44"/>
      <c r="BH107" s="44"/>
      <c r="BI107" s="44"/>
      <c r="BJ107" s="44"/>
      <c r="BK107" s="44"/>
      <c r="BL107" s="44"/>
      <c r="BM107" s="44"/>
      <c r="BN107" s="44"/>
      <c r="BO107" s="44"/>
      <c r="BP107" s="44"/>
      <c r="BQ107" s="44"/>
      <c r="BR107" s="44"/>
      <c r="BS107" s="44"/>
      <c r="BT107" s="44"/>
      <c r="BU107" s="44"/>
      <c r="BV107" s="44"/>
      <c r="BW107" s="44"/>
      <c r="BX107" s="44"/>
      <c r="BY107" s="44"/>
      <c r="BZ107" s="44"/>
      <c r="CA107" s="44"/>
      <c r="CB107" s="44"/>
      <c r="CC107" s="44"/>
      <c r="CD107" s="44"/>
      <c r="CE107" s="44"/>
      <c r="CF107" s="44"/>
      <c r="CG107" s="44"/>
      <c r="CH107" s="44"/>
      <c r="CI107" s="44"/>
      <c r="CJ107" s="44"/>
    </row>
    <row r="108" spans="31:88" ht="15" customHeight="1">
      <c r="AE108" s="44"/>
      <c r="AF108" s="44"/>
      <c r="AG108" s="44"/>
      <c r="AH108" s="44"/>
      <c r="AI108" s="44"/>
      <c r="AJ108" s="44"/>
      <c r="AK108" s="44"/>
      <c r="AL108" s="44"/>
      <c r="AM108" s="44"/>
      <c r="AN108" s="44"/>
      <c r="AO108" s="44"/>
      <c r="AP108" s="44"/>
      <c r="AQ108" s="44"/>
      <c r="AR108" s="44"/>
      <c r="AS108" s="44"/>
      <c r="AT108" s="44"/>
      <c r="AU108" s="44"/>
      <c r="AV108" s="44"/>
      <c r="AW108" s="44"/>
      <c r="AX108" s="44"/>
      <c r="AY108" s="44"/>
      <c r="AZ108" s="44"/>
      <c r="BA108" s="44"/>
      <c r="BB108" s="44"/>
      <c r="BC108" s="44"/>
      <c r="BD108" s="44"/>
      <c r="BE108" s="44"/>
      <c r="BF108" s="44"/>
      <c r="BG108" s="44"/>
      <c r="BH108" s="44"/>
      <c r="BI108" s="44"/>
      <c r="BJ108" s="44"/>
      <c r="BK108" s="44"/>
      <c r="BL108" s="44"/>
      <c r="BM108" s="44"/>
      <c r="BN108" s="44"/>
      <c r="BO108" s="44"/>
      <c r="BP108" s="44"/>
      <c r="BQ108" s="44"/>
      <c r="BR108" s="44"/>
      <c r="BS108" s="44"/>
      <c r="BT108" s="44"/>
      <c r="BU108" s="44"/>
      <c r="BV108" s="44"/>
      <c r="BW108" s="44"/>
      <c r="BX108" s="44"/>
      <c r="BY108" s="44"/>
      <c r="BZ108" s="44"/>
      <c r="CA108" s="44"/>
      <c r="CB108" s="44"/>
      <c r="CC108" s="44"/>
      <c r="CD108" s="44"/>
      <c r="CE108" s="44"/>
      <c r="CF108" s="44"/>
      <c r="CG108" s="44"/>
      <c r="CH108" s="44"/>
      <c r="CI108" s="44"/>
      <c r="CJ108" s="44"/>
    </row>
    <row r="109" spans="31:88" ht="15" customHeight="1">
      <c r="AE109" s="44"/>
      <c r="AF109" s="44"/>
      <c r="AG109" s="44"/>
      <c r="AH109" s="44"/>
      <c r="AI109" s="44"/>
      <c r="AJ109" s="44"/>
      <c r="AK109" s="44"/>
      <c r="AL109" s="44"/>
      <c r="AM109" s="44"/>
      <c r="AN109" s="44"/>
      <c r="AO109" s="44"/>
      <c r="AP109" s="44"/>
      <c r="AQ109" s="44"/>
      <c r="AR109" s="44"/>
      <c r="AS109" s="44"/>
      <c r="AT109" s="44"/>
      <c r="AU109" s="44"/>
      <c r="AV109" s="44"/>
      <c r="AW109" s="44"/>
      <c r="AX109" s="44"/>
      <c r="AY109" s="44"/>
      <c r="AZ109" s="44"/>
      <c r="BA109" s="44"/>
      <c r="BB109" s="44"/>
      <c r="BC109" s="44"/>
      <c r="BD109" s="44"/>
      <c r="BE109" s="44"/>
      <c r="BF109" s="44"/>
      <c r="BG109" s="44"/>
      <c r="BH109" s="44"/>
      <c r="BI109" s="44"/>
      <c r="BJ109" s="44"/>
      <c r="BK109" s="44"/>
      <c r="BL109" s="44"/>
      <c r="BM109" s="44"/>
      <c r="BN109" s="44"/>
      <c r="BO109" s="44"/>
      <c r="BP109" s="44"/>
      <c r="BQ109" s="44"/>
      <c r="BR109" s="44"/>
      <c r="BS109" s="44"/>
      <c r="BT109" s="44"/>
      <c r="BU109" s="44"/>
      <c r="BV109" s="44"/>
      <c r="BW109" s="44"/>
      <c r="BX109" s="44"/>
      <c r="BY109" s="44"/>
      <c r="BZ109" s="44"/>
      <c r="CA109" s="44"/>
      <c r="CB109" s="44"/>
      <c r="CC109" s="44"/>
      <c r="CD109" s="44"/>
      <c r="CE109" s="44"/>
      <c r="CF109" s="44"/>
      <c r="CG109" s="44"/>
      <c r="CH109" s="44"/>
      <c r="CI109" s="44"/>
      <c r="CJ109" s="44"/>
    </row>
    <row r="110" spans="31:88" ht="15" customHeight="1">
      <c r="AE110" s="44"/>
      <c r="AF110" s="44"/>
      <c r="AG110" s="44"/>
      <c r="AH110" s="44"/>
      <c r="AI110" s="44"/>
      <c r="AJ110" s="44"/>
      <c r="AK110" s="44"/>
      <c r="AL110" s="44"/>
      <c r="AM110" s="44"/>
      <c r="AN110" s="44"/>
      <c r="AO110" s="44"/>
      <c r="AP110" s="44"/>
      <c r="AQ110" s="44"/>
      <c r="AR110" s="44"/>
      <c r="AS110" s="44"/>
      <c r="AT110" s="44"/>
      <c r="AU110" s="44"/>
      <c r="AV110" s="44"/>
      <c r="AW110" s="44"/>
      <c r="AX110" s="44"/>
      <c r="AY110" s="44"/>
      <c r="AZ110" s="44"/>
      <c r="BA110" s="44"/>
      <c r="BB110" s="44"/>
      <c r="BC110" s="44"/>
      <c r="BD110" s="44"/>
      <c r="BE110" s="44"/>
      <c r="BF110" s="44"/>
      <c r="BG110" s="44"/>
      <c r="BH110" s="44"/>
      <c r="BI110" s="44"/>
      <c r="BJ110" s="44"/>
      <c r="BK110" s="44"/>
      <c r="BL110" s="44"/>
      <c r="BM110" s="44"/>
      <c r="BN110" s="44"/>
      <c r="BO110" s="44"/>
      <c r="BP110" s="44"/>
      <c r="BQ110" s="44"/>
      <c r="BR110" s="44"/>
      <c r="BS110" s="44"/>
      <c r="BT110" s="44"/>
      <c r="BU110" s="44"/>
      <c r="BV110" s="44"/>
      <c r="BW110" s="44"/>
      <c r="BX110" s="44"/>
      <c r="BY110" s="44"/>
      <c r="BZ110" s="44"/>
      <c r="CA110" s="44"/>
      <c r="CB110" s="44"/>
      <c r="CC110" s="44"/>
      <c r="CD110" s="44"/>
      <c r="CE110" s="44"/>
      <c r="CF110" s="44"/>
      <c r="CG110" s="44"/>
      <c r="CH110" s="44"/>
      <c r="CI110" s="44"/>
      <c r="CJ110" s="44"/>
    </row>
    <row r="111" spans="31:88" ht="15" customHeight="1">
      <c r="AE111" s="44"/>
      <c r="AF111" s="44"/>
      <c r="AG111" s="44"/>
      <c r="AH111" s="44"/>
      <c r="AI111" s="44"/>
      <c r="AJ111" s="44"/>
      <c r="AK111" s="44"/>
      <c r="AL111" s="44"/>
      <c r="AM111" s="44"/>
      <c r="AN111" s="44"/>
      <c r="AO111" s="44"/>
      <c r="AP111" s="44"/>
      <c r="AQ111" s="44"/>
      <c r="AR111" s="44"/>
      <c r="AS111" s="44"/>
      <c r="AT111" s="44"/>
      <c r="AU111" s="44"/>
      <c r="AV111" s="44"/>
      <c r="AW111" s="44"/>
      <c r="AX111" s="44"/>
      <c r="AY111" s="44"/>
      <c r="AZ111" s="44"/>
      <c r="BA111" s="44"/>
      <c r="BB111" s="44"/>
      <c r="BC111" s="44"/>
      <c r="BD111" s="44"/>
      <c r="BE111" s="44"/>
      <c r="BF111" s="44"/>
      <c r="BG111" s="44"/>
      <c r="BH111" s="44"/>
      <c r="BI111" s="44"/>
      <c r="BJ111" s="44"/>
      <c r="BK111" s="44"/>
      <c r="BL111" s="44"/>
      <c r="BM111" s="44"/>
      <c r="BN111" s="44"/>
      <c r="BO111" s="44"/>
      <c r="BP111" s="44"/>
      <c r="BQ111" s="44"/>
      <c r="BR111" s="44"/>
      <c r="BS111" s="44"/>
      <c r="BT111" s="44"/>
      <c r="BU111" s="44"/>
      <c r="BV111" s="44"/>
      <c r="BW111" s="44"/>
      <c r="BX111" s="44"/>
      <c r="BY111" s="44"/>
      <c r="BZ111" s="44"/>
      <c r="CA111" s="44"/>
      <c r="CB111" s="44"/>
      <c r="CC111" s="44"/>
      <c r="CD111" s="44"/>
      <c r="CE111" s="44"/>
      <c r="CF111" s="44"/>
      <c r="CG111" s="44"/>
      <c r="CH111" s="44"/>
      <c r="CI111" s="44"/>
      <c r="CJ111" s="44"/>
    </row>
    <row r="112" spans="31:88" ht="15" customHeight="1">
      <c r="AE112" s="44"/>
      <c r="AF112" s="44"/>
      <c r="AG112" s="44"/>
      <c r="AH112" s="44"/>
      <c r="AI112" s="44"/>
      <c r="AJ112" s="44"/>
      <c r="AK112" s="44"/>
      <c r="AL112" s="44"/>
      <c r="AM112" s="44"/>
      <c r="AN112" s="44"/>
      <c r="AO112" s="44"/>
      <c r="AP112" s="44"/>
      <c r="AQ112" s="44"/>
      <c r="AR112" s="44"/>
      <c r="AS112" s="44"/>
      <c r="AT112" s="44"/>
      <c r="AU112" s="44"/>
      <c r="AV112" s="44"/>
      <c r="AW112" s="44"/>
      <c r="AX112" s="44"/>
      <c r="AY112" s="44"/>
      <c r="AZ112" s="44"/>
      <c r="BA112" s="44"/>
      <c r="BB112" s="44"/>
      <c r="BC112" s="44"/>
      <c r="BD112" s="44"/>
      <c r="BE112" s="44"/>
      <c r="BF112" s="44"/>
      <c r="BG112" s="44"/>
      <c r="BH112" s="44"/>
      <c r="BI112" s="44"/>
      <c r="BJ112" s="44"/>
      <c r="BK112" s="44"/>
      <c r="BL112" s="44"/>
      <c r="BM112" s="44"/>
      <c r="BN112" s="44"/>
      <c r="BO112" s="44"/>
      <c r="BP112" s="44"/>
      <c r="BQ112" s="44"/>
      <c r="BR112" s="44"/>
      <c r="BS112" s="44"/>
      <c r="BT112" s="44"/>
      <c r="BU112" s="44"/>
      <c r="BV112" s="44"/>
      <c r="BW112" s="44"/>
      <c r="BX112" s="44"/>
      <c r="BY112" s="44"/>
      <c r="BZ112" s="44"/>
      <c r="CA112" s="44"/>
      <c r="CB112" s="44"/>
      <c r="CC112" s="44"/>
      <c r="CD112" s="44"/>
      <c r="CE112" s="44"/>
      <c r="CF112" s="44"/>
      <c r="CG112" s="44"/>
      <c r="CH112" s="44"/>
      <c r="CI112" s="44"/>
      <c r="CJ112" s="44"/>
    </row>
    <row r="113" spans="31:88" ht="15" customHeight="1">
      <c r="AE113" s="44"/>
      <c r="AF113" s="44"/>
      <c r="AG113" s="44"/>
      <c r="AH113" s="44"/>
      <c r="AI113" s="44"/>
      <c r="AJ113" s="44"/>
      <c r="AK113" s="44"/>
      <c r="AL113" s="44"/>
      <c r="AM113" s="44"/>
      <c r="AN113" s="44"/>
      <c r="AO113" s="44"/>
      <c r="AP113" s="44"/>
      <c r="AQ113" s="44"/>
      <c r="AR113" s="44"/>
      <c r="AS113" s="44"/>
      <c r="AT113" s="44"/>
      <c r="AU113" s="44"/>
      <c r="AV113" s="44"/>
      <c r="AW113" s="44"/>
      <c r="AX113" s="44"/>
      <c r="AY113" s="44"/>
      <c r="AZ113" s="44"/>
      <c r="BA113" s="44"/>
      <c r="BB113" s="44"/>
      <c r="BC113" s="44"/>
      <c r="BD113" s="44"/>
      <c r="BE113" s="44"/>
      <c r="BF113" s="44"/>
      <c r="BG113" s="44"/>
      <c r="BH113" s="44"/>
      <c r="BI113" s="44"/>
      <c r="BJ113" s="44"/>
      <c r="BK113" s="44"/>
      <c r="BL113" s="44"/>
      <c r="BM113" s="44"/>
      <c r="BN113" s="44"/>
      <c r="BO113" s="44"/>
      <c r="BP113" s="44"/>
      <c r="BQ113" s="44"/>
      <c r="BR113" s="44"/>
      <c r="BS113" s="44"/>
      <c r="BT113" s="44"/>
      <c r="BU113" s="44"/>
      <c r="BV113" s="44"/>
      <c r="BW113" s="44"/>
      <c r="BX113" s="44"/>
      <c r="BY113" s="44"/>
      <c r="BZ113" s="44"/>
      <c r="CA113" s="44"/>
      <c r="CB113" s="44"/>
      <c r="CC113" s="44"/>
      <c r="CD113" s="44"/>
      <c r="CE113" s="44"/>
      <c r="CF113" s="44"/>
      <c r="CG113" s="44"/>
      <c r="CH113" s="44"/>
      <c r="CI113" s="44"/>
      <c r="CJ113" s="44"/>
    </row>
    <row r="114" spans="31:88" ht="15" customHeight="1">
      <c r="AE114" s="44"/>
      <c r="AF114" s="44"/>
      <c r="AG114" s="44"/>
      <c r="AH114" s="44"/>
      <c r="AI114" s="44"/>
      <c r="AJ114" s="44"/>
      <c r="AK114" s="44"/>
      <c r="AL114" s="44"/>
      <c r="AM114" s="44"/>
      <c r="AN114" s="44"/>
      <c r="AO114" s="44"/>
      <c r="AP114" s="44"/>
      <c r="AQ114" s="44"/>
      <c r="AR114" s="44"/>
      <c r="AS114" s="44"/>
      <c r="AT114" s="44"/>
      <c r="AU114" s="44"/>
      <c r="AV114" s="44"/>
      <c r="AW114" s="44"/>
      <c r="AX114" s="44"/>
      <c r="AY114" s="44"/>
      <c r="AZ114" s="44"/>
      <c r="BA114" s="44"/>
      <c r="BB114" s="44"/>
      <c r="BC114" s="44"/>
      <c r="BD114" s="44"/>
      <c r="BE114" s="44"/>
      <c r="BF114" s="44"/>
      <c r="BG114" s="44"/>
      <c r="BH114" s="44"/>
      <c r="BI114" s="44"/>
      <c r="BJ114" s="44"/>
      <c r="BK114" s="44"/>
      <c r="BL114" s="44"/>
      <c r="BM114" s="44"/>
      <c r="BN114" s="44"/>
      <c r="BO114" s="44"/>
      <c r="BP114" s="44"/>
      <c r="BQ114" s="44"/>
      <c r="BR114" s="44"/>
      <c r="BS114" s="44"/>
      <c r="BT114" s="44"/>
      <c r="BU114" s="44"/>
      <c r="BV114" s="44"/>
      <c r="BW114" s="44"/>
      <c r="BX114" s="44"/>
      <c r="BY114" s="44"/>
      <c r="BZ114" s="44"/>
      <c r="CA114" s="44"/>
      <c r="CB114" s="44"/>
      <c r="CC114" s="44"/>
      <c r="CD114" s="44"/>
      <c r="CE114" s="44"/>
      <c r="CF114" s="44"/>
      <c r="CG114" s="44"/>
      <c r="CH114" s="44"/>
      <c r="CI114" s="44"/>
      <c r="CJ114" s="44"/>
    </row>
    <row r="115" spans="31:88" ht="15" customHeight="1">
      <c r="AE115" s="44"/>
      <c r="AF115" s="44"/>
      <c r="AG115" s="44"/>
      <c r="AH115" s="44"/>
      <c r="AI115" s="44"/>
      <c r="AJ115" s="44"/>
      <c r="AK115" s="44"/>
      <c r="AL115" s="44"/>
      <c r="AM115" s="44"/>
      <c r="AN115" s="44"/>
      <c r="AO115" s="44"/>
      <c r="AP115" s="44"/>
      <c r="AQ115" s="44"/>
      <c r="AR115" s="44"/>
      <c r="AS115" s="44"/>
      <c r="AT115" s="44"/>
      <c r="AU115" s="44"/>
      <c r="AV115" s="44"/>
      <c r="AW115" s="44"/>
      <c r="AX115" s="44"/>
      <c r="AY115" s="44"/>
      <c r="AZ115" s="44"/>
      <c r="BA115" s="44"/>
      <c r="BB115" s="44"/>
      <c r="BC115" s="44"/>
      <c r="BD115" s="44"/>
      <c r="BE115" s="44"/>
      <c r="BF115" s="44"/>
      <c r="BG115" s="44"/>
      <c r="BH115" s="44"/>
      <c r="BI115" s="44"/>
      <c r="BJ115" s="44"/>
      <c r="BK115" s="44"/>
      <c r="BL115" s="44"/>
      <c r="BM115" s="44"/>
      <c r="BN115" s="44"/>
      <c r="BO115" s="44"/>
      <c r="BP115" s="44"/>
      <c r="BQ115" s="44"/>
      <c r="BR115" s="44"/>
      <c r="BS115" s="44"/>
      <c r="BT115" s="44"/>
      <c r="BU115" s="44"/>
      <c r="BV115" s="44"/>
      <c r="BW115" s="44"/>
      <c r="BX115" s="44"/>
      <c r="BY115" s="44"/>
      <c r="BZ115" s="44"/>
      <c r="CA115" s="44"/>
      <c r="CB115" s="44"/>
      <c r="CC115" s="44"/>
      <c r="CD115" s="44"/>
      <c r="CE115" s="44"/>
      <c r="CF115" s="44"/>
      <c r="CG115" s="44"/>
      <c r="CH115" s="44"/>
      <c r="CI115" s="44"/>
      <c r="CJ115" s="44"/>
    </row>
    <row r="116" spans="31:88" ht="15" customHeight="1">
      <c r="AE116" s="44"/>
      <c r="AF116" s="44"/>
      <c r="AG116" s="44"/>
      <c r="AH116" s="44"/>
      <c r="AI116" s="44"/>
      <c r="AJ116" s="44"/>
      <c r="AK116" s="44"/>
      <c r="AL116" s="44"/>
      <c r="AM116" s="44"/>
      <c r="AN116" s="44"/>
      <c r="AO116" s="44"/>
      <c r="AP116" s="44"/>
      <c r="AQ116" s="44"/>
      <c r="AR116" s="44"/>
      <c r="AS116" s="44"/>
      <c r="AT116" s="44"/>
      <c r="AU116" s="44"/>
      <c r="AV116" s="44"/>
      <c r="AW116" s="44"/>
      <c r="AX116" s="44"/>
      <c r="AY116" s="44"/>
      <c r="AZ116" s="44"/>
      <c r="BA116" s="44"/>
      <c r="BB116" s="44"/>
      <c r="BC116" s="44"/>
      <c r="BD116" s="44"/>
      <c r="BE116" s="44"/>
      <c r="BF116" s="44"/>
      <c r="BG116" s="44"/>
      <c r="BH116" s="44"/>
      <c r="BI116" s="44"/>
      <c r="BJ116" s="44"/>
      <c r="BK116" s="44"/>
      <c r="BL116" s="44"/>
      <c r="BM116" s="44"/>
      <c r="BN116" s="44"/>
      <c r="BO116" s="44"/>
      <c r="BP116" s="44"/>
      <c r="BQ116" s="44"/>
      <c r="BR116" s="44"/>
      <c r="BS116" s="44"/>
      <c r="BT116" s="44"/>
      <c r="BU116" s="44"/>
      <c r="BV116" s="44"/>
      <c r="BW116" s="44"/>
      <c r="BX116" s="44"/>
      <c r="BY116" s="44"/>
      <c r="BZ116" s="44"/>
      <c r="CA116" s="44"/>
      <c r="CB116" s="44"/>
      <c r="CC116" s="44"/>
      <c r="CD116" s="44"/>
      <c r="CE116" s="44"/>
      <c r="CF116" s="44"/>
      <c r="CG116" s="44"/>
      <c r="CH116" s="44"/>
      <c r="CI116" s="44"/>
      <c r="CJ116" s="44"/>
    </row>
    <row r="117" spans="31:88" ht="15" customHeight="1">
      <c r="AE117" s="44"/>
      <c r="AF117" s="44"/>
      <c r="AG117" s="44"/>
      <c r="AH117" s="4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  <c r="AT117" s="44"/>
      <c r="AU117" s="44"/>
      <c r="AV117" s="44"/>
      <c r="AW117" s="44"/>
      <c r="AX117" s="44"/>
      <c r="AY117" s="44"/>
      <c r="AZ117" s="44"/>
      <c r="BA117" s="44"/>
      <c r="BB117" s="44"/>
      <c r="BC117" s="44"/>
      <c r="BD117" s="44"/>
      <c r="BE117" s="44"/>
      <c r="BF117" s="44"/>
      <c r="BG117" s="44"/>
      <c r="BH117" s="44"/>
      <c r="BI117" s="44"/>
      <c r="BJ117" s="44"/>
      <c r="BK117" s="44"/>
      <c r="BL117" s="44"/>
      <c r="BM117" s="44"/>
      <c r="BN117" s="44"/>
      <c r="BO117" s="44"/>
      <c r="BP117" s="44"/>
      <c r="BQ117" s="44"/>
      <c r="BR117" s="44"/>
      <c r="BS117" s="44"/>
      <c r="BT117" s="44"/>
      <c r="BU117" s="44"/>
      <c r="BV117" s="44"/>
      <c r="BW117" s="44"/>
      <c r="BX117" s="44"/>
      <c r="BY117" s="44"/>
      <c r="BZ117" s="44"/>
      <c r="CA117" s="44"/>
      <c r="CB117" s="44"/>
      <c r="CC117" s="44"/>
      <c r="CD117" s="44"/>
      <c r="CE117" s="44"/>
      <c r="CF117" s="44"/>
      <c r="CG117" s="44"/>
      <c r="CH117" s="44"/>
      <c r="CI117" s="44"/>
      <c r="CJ117" s="44"/>
    </row>
    <row r="118" spans="31:88" ht="15" customHeight="1">
      <c r="AE118" s="44"/>
      <c r="AF118" s="44"/>
      <c r="AG118" s="44"/>
      <c r="AH118" s="44"/>
      <c r="AI118" s="44"/>
      <c r="AJ118" s="44"/>
      <c r="AK118" s="44"/>
      <c r="AL118" s="44"/>
      <c r="AM118" s="44"/>
      <c r="AN118" s="44"/>
      <c r="AO118" s="44"/>
      <c r="AP118" s="44"/>
      <c r="AQ118" s="44"/>
      <c r="AR118" s="44"/>
      <c r="AS118" s="44"/>
      <c r="AT118" s="44"/>
      <c r="AU118" s="44"/>
      <c r="AV118" s="44"/>
      <c r="AW118" s="44"/>
      <c r="AX118" s="44"/>
      <c r="AY118" s="44"/>
      <c r="AZ118" s="44"/>
      <c r="BA118" s="44"/>
      <c r="BB118" s="44"/>
      <c r="BC118" s="44"/>
      <c r="BD118" s="44"/>
      <c r="BE118" s="44"/>
      <c r="BF118" s="44"/>
      <c r="BG118" s="44"/>
      <c r="BH118" s="44"/>
      <c r="BI118" s="44"/>
      <c r="BJ118" s="44"/>
      <c r="BK118" s="44"/>
      <c r="BL118" s="44"/>
      <c r="BM118" s="44"/>
      <c r="BN118" s="44"/>
      <c r="BO118" s="44"/>
      <c r="BP118" s="44"/>
      <c r="BQ118" s="44"/>
      <c r="BR118" s="44"/>
      <c r="BS118" s="44"/>
      <c r="BT118" s="44"/>
      <c r="BU118" s="44"/>
      <c r="BV118" s="44"/>
      <c r="BW118" s="44"/>
      <c r="BX118" s="44"/>
      <c r="BY118" s="44"/>
      <c r="BZ118" s="44"/>
      <c r="CA118" s="44"/>
      <c r="CB118" s="44"/>
      <c r="CC118" s="44"/>
      <c r="CD118" s="44"/>
      <c r="CE118" s="44"/>
      <c r="CF118" s="44"/>
      <c r="CG118" s="44"/>
      <c r="CH118" s="44"/>
      <c r="CI118" s="44"/>
      <c r="CJ118" s="44"/>
    </row>
    <row r="119" spans="31:88" ht="15" customHeight="1">
      <c r="AE119" s="44"/>
      <c r="AF119" s="44"/>
      <c r="AG119" s="44"/>
      <c r="AH119" s="44"/>
      <c r="AI119" s="44"/>
      <c r="AJ119" s="44"/>
      <c r="AK119" s="44"/>
      <c r="AL119" s="44"/>
      <c r="AM119" s="44"/>
      <c r="AN119" s="44"/>
      <c r="AO119" s="44"/>
      <c r="AP119" s="44"/>
      <c r="AQ119" s="44"/>
      <c r="AR119" s="44"/>
      <c r="AS119" s="44"/>
      <c r="AT119" s="44"/>
      <c r="AU119" s="44"/>
      <c r="AV119" s="44"/>
      <c r="AW119" s="44"/>
      <c r="AX119" s="44"/>
      <c r="AY119" s="44"/>
      <c r="AZ119" s="44"/>
      <c r="BA119" s="44"/>
      <c r="BB119" s="44"/>
      <c r="BC119" s="44"/>
      <c r="BD119" s="44"/>
      <c r="BE119" s="44"/>
      <c r="BF119" s="44"/>
      <c r="BG119" s="44"/>
      <c r="BH119" s="44"/>
      <c r="BI119" s="44"/>
      <c r="BJ119" s="44"/>
      <c r="BK119" s="44"/>
      <c r="BL119" s="44"/>
      <c r="BM119" s="44"/>
      <c r="BN119" s="44"/>
      <c r="BO119" s="44"/>
      <c r="BP119" s="44"/>
      <c r="BQ119" s="44"/>
      <c r="BR119" s="44"/>
      <c r="BS119" s="44"/>
      <c r="BT119" s="44"/>
      <c r="BU119" s="44"/>
      <c r="BV119" s="44"/>
      <c r="BW119" s="44"/>
      <c r="BX119" s="44"/>
      <c r="BY119" s="44"/>
      <c r="BZ119" s="44"/>
      <c r="CA119" s="44"/>
      <c r="CB119" s="44"/>
      <c r="CC119" s="44"/>
      <c r="CD119" s="44"/>
      <c r="CE119" s="44"/>
      <c r="CF119" s="44"/>
      <c r="CG119" s="44"/>
      <c r="CH119" s="44"/>
      <c r="CI119" s="44"/>
      <c r="CJ119" s="44"/>
    </row>
    <row r="120" spans="31:88" ht="15" customHeight="1">
      <c r="AE120" s="44"/>
      <c r="AF120" s="44"/>
      <c r="AG120" s="44"/>
      <c r="AH120" s="44"/>
      <c r="AI120" s="44"/>
      <c r="AJ120" s="44"/>
      <c r="AK120" s="44"/>
      <c r="AL120" s="44"/>
      <c r="AM120" s="44"/>
      <c r="AN120" s="44"/>
      <c r="AO120" s="44"/>
      <c r="AP120" s="44"/>
      <c r="AQ120" s="44"/>
      <c r="AR120" s="44"/>
      <c r="AS120" s="44"/>
      <c r="AT120" s="44"/>
      <c r="AU120" s="44"/>
      <c r="AV120" s="44"/>
      <c r="AW120" s="44"/>
      <c r="AX120" s="44"/>
      <c r="AY120" s="44"/>
      <c r="AZ120" s="44"/>
      <c r="BA120" s="44"/>
      <c r="BB120" s="44"/>
      <c r="BC120" s="44"/>
      <c r="BD120" s="44"/>
      <c r="BE120" s="44"/>
      <c r="BF120" s="44"/>
      <c r="BG120" s="44"/>
      <c r="BH120" s="44"/>
      <c r="BI120" s="44"/>
      <c r="BJ120" s="44"/>
      <c r="BK120" s="44"/>
      <c r="BL120" s="44"/>
      <c r="BM120" s="44"/>
      <c r="BN120" s="44"/>
      <c r="BO120" s="44"/>
      <c r="BP120" s="44"/>
      <c r="BQ120" s="44"/>
      <c r="BR120" s="44"/>
      <c r="BS120" s="44"/>
      <c r="BT120" s="44"/>
      <c r="BU120" s="44"/>
      <c r="BV120" s="44"/>
      <c r="BW120" s="44"/>
      <c r="BX120" s="44"/>
      <c r="BY120" s="44"/>
      <c r="BZ120" s="44"/>
      <c r="CA120" s="44"/>
      <c r="CB120" s="44"/>
      <c r="CC120" s="44"/>
      <c r="CD120" s="44"/>
      <c r="CE120" s="44"/>
      <c r="CF120" s="44"/>
      <c r="CG120" s="44"/>
      <c r="CH120" s="44"/>
      <c r="CI120" s="44"/>
      <c r="CJ120" s="44"/>
    </row>
    <row r="121" spans="31:88" ht="15" customHeight="1">
      <c r="AE121" s="44"/>
      <c r="AF121" s="44"/>
      <c r="AG121" s="44"/>
      <c r="AH121" s="44"/>
      <c r="AI121" s="44"/>
      <c r="AJ121" s="44"/>
      <c r="AK121" s="44"/>
      <c r="AL121" s="44"/>
      <c r="AM121" s="44"/>
      <c r="AN121" s="44"/>
      <c r="AO121" s="44"/>
      <c r="AP121" s="44"/>
      <c r="AQ121" s="44"/>
      <c r="AR121" s="44"/>
      <c r="AS121" s="44"/>
      <c r="AT121" s="44"/>
      <c r="AU121" s="44"/>
      <c r="AV121" s="44"/>
      <c r="AW121" s="44"/>
      <c r="AX121" s="44"/>
      <c r="AY121" s="44"/>
      <c r="AZ121" s="44"/>
      <c r="BA121" s="44"/>
      <c r="BB121" s="44"/>
      <c r="BC121" s="44"/>
      <c r="BD121" s="44"/>
      <c r="BE121" s="44"/>
      <c r="BF121" s="44"/>
      <c r="BG121" s="44"/>
      <c r="BH121" s="44"/>
      <c r="BI121" s="44"/>
      <c r="BJ121" s="44"/>
      <c r="BK121" s="44"/>
      <c r="BL121" s="44"/>
      <c r="BM121" s="44"/>
      <c r="BN121" s="44"/>
      <c r="BO121" s="44"/>
      <c r="BP121" s="44"/>
      <c r="BQ121" s="44"/>
      <c r="BR121" s="44"/>
      <c r="BS121" s="44"/>
      <c r="BT121" s="44"/>
      <c r="BU121" s="44"/>
      <c r="BV121" s="44"/>
      <c r="BW121" s="44"/>
      <c r="BX121" s="44"/>
      <c r="BY121" s="44"/>
      <c r="BZ121" s="44"/>
      <c r="CA121" s="44"/>
      <c r="CB121" s="44"/>
      <c r="CC121" s="44"/>
      <c r="CD121" s="44"/>
      <c r="CE121" s="44"/>
      <c r="CF121" s="44"/>
      <c r="CG121" s="44"/>
      <c r="CH121" s="44"/>
      <c r="CI121" s="44"/>
      <c r="CJ121" s="44"/>
    </row>
    <row r="122" spans="31:88" ht="15" customHeight="1">
      <c r="AE122" s="44"/>
      <c r="AF122" s="44"/>
      <c r="AG122" s="44"/>
      <c r="AH122" s="44"/>
      <c r="AI122" s="44"/>
      <c r="AJ122" s="44"/>
      <c r="AK122" s="44"/>
      <c r="AL122" s="44"/>
      <c r="AM122" s="44"/>
      <c r="AN122" s="44"/>
      <c r="AO122" s="44"/>
      <c r="AP122" s="44"/>
      <c r="AQ122" s="44"/>
      <c r="AR122" s="44"/>
      <c r="AS122" s="44"/>
      <c r="AT122" s="44"/>
      <c r="AU122" s="44"/>
      <c r="AV122" s="44"/>
      <c r="AW122" s="44"/>
      <c r="AX122" s="44"/>
      <c r="AY122" s="44"/>
      <c r="AZ122" s="44"/>
      <c r="BA122" s="44"/>
      <c r="BB122" s="44"/>
      <c r="BC122" s="44"/>
      <c r="BD122" s="44"/>
      <c r="BE122" s="44"/>
      <c r="BF122" s="44"/>
      <c r="BG122" s="44"/>
      <c r="BH122" s="44"/>
      <c r="BI122" s="44"/>
      <c r="BJ122" s="44"/>
      <c r="BK122" s="44"/>
      <c r="BL122" s="44"/>
      <c r="BM122" s="44"/>
      <c r="BN122" s="44"/>
      <c r="BO122" s="44"/>
      <c r="BP122" s="44"/>
      <c r="BQ122" s="44"/>
      <c r="BR122" s="44"/>
      <c r="BS122" s="44"/>
      <c r="BT122" s="44"/>
      <c r="BU122" s="44"/>
      <c r="BV122" s="44"/>
      <c r="BW122" s="44"/>
      <c r="BX122" s="44"/>
      <c r="BY122" s="44"/>
      <c r="BZ122" s="44"/>
      <c r="CA122" s="44"/>
      <c r="CB122" s="44"/>
      <c r="CC122" s="44"/>
      <c r="CD122" s="44"/>
      <c r="CE122" s="44"/>
      <c r="CF122" s="44"/>
      <c r="CG122" s="44"/>
      <c r="CH122" s="44"/>
      <c r="CI122" s="44"/>
      <c r="CJ122" s="44"/>
    </row>
    <row r="123" spans="31:88" ht="15" customHeight="1">
      <c r="AE123" s="44"/>
      <c r="AF123" s="44"/>
      <c r="AG123" s="44"/>
      <c r="AH123" s="44"/>
      <c r="AI123" s="44"/>
      <c r="AJ123" s="44"/>
      <c r="AK123" s="44"/>
      <c r="AL123" s="44"/>
      <c r="AM123" s="44"/>
      <c r="AN123" s="44"/>
      <c r="AO123" s="44"/>
      <c r="AP123" s="44"/>
      <c r="AQ123" s="44"/>
      <c r="AR123" s="44"/>
      <c r="AS123" s="44"/>
      <c r="AT123" s="44"/>
      <c r="AU123" s="44"/>
      <c r="AV123" s="44"/>
      <c r="AW123" s="44"/>
      <c r="AX123" s="44"/>
      <c r="AY123" s="44"/>
      <c r="AZ123" s="44"/>
      <c r="BA123" s="44"/>
      <c r="BB123" s="44"/>
      <c r="BC123" s="44"/>
      <c r="BD123" s="44"/>
      <c r="BE123" s="44"/>
      <c r="BF123" s="44"/>
      <c r="BG123" s="44"/>
      <c r="BH123" s="44"/>
      <c r="BI123" s="44"/>
      <c r="BJ123" s="44"/>
      <c r="BK123" s="44"/>
      <c r="BL123" s="44"/>
      <c r="BM123" s="44"/>
      <c r="BN123" s="44"/>
      <c r="BO123" s="44"/>
      <c r="BP123" s="44"/>
      <c r="BQ123" s="44"/>
      <c r="BR123" s="44"/>
      <c r="BS123" s="44"/>
      <c r="BT123" s="44"/>
      <c r="BU123" s="44"/>
      <c r="BV123" s="44"/>
      <c r="BW123" s="44"/>
      <c r="BX123" s="44"/>
      <c r="BY123" s="44"/>
      <c r="BZ123" s="44"/>
      <c r="CA123" s="44"/>
      <c r="CB123" s="44"/>
      <c r="CC123" s="44"/>
      <c r="CD123" s="44"/>
      <c r="CE123" s="44"/>
      <c r="CF123" s="44"/>
      <c r="CG123" s="44"/>
      <c r="CH123" s="44"/>
      <c r="CI123" s="44"/>
      <c r="CJ123" s="44"/>
    </row>
    <row r="124" spans="31:88" ht="15" customHeight="1">
      <c r="AE124" s="44"/>
      <c r="AF124" s="44"/>
      <c r="AG124" s="44"/>
      <c r="AH124" s="44"/>
      <c r="AI124" s="44"/>
      <c r="AJ124" s="44"/>
      <c r="AK124" s="44"/>
      <c r="AL124" s="44"/>
      <c r="AM124" s="44"/>
      <c r="AN124" s="44"/>
      <c r="AO124" s="44"/>
      <c r="AP124" s="44"/>
      <c r="AQ124" s="44"/>
      <c r="AR124" s="44"/>
      <c r="AS124" s="44"/>
      <c r="AT124" s="44"/>
      <c r="AU124" s="44"/>
      <c r="AV124" s="44"/>
      <c r="AW124" s="44"/>
      <c r="AX124" s="44"/>
      <c r="AY124" s="44"/>
      <c r="AZ124" s="44"/>
      <c r="BA124" s="44"/>
      <c r="BB124" s="44"/>
      <c r="BC124" s="44"/>
      <c r="BD124" s="44"/>
      <c r="BE124" s="44"/>
      <c r="BF124" s="44"/>
      <c r="BG124" s="44"/>
      <c r="BH124" s="44"/>
      <c r="BI124" s="44"/>
      <c r="BJ124" s="44"/>
      <c r="BK124" s="44"/>
      <c r="BL124" s="44"/>
      <c r="BM124" s="44"/>
      <c r="BN124" s="44"/>
      <c r="BO124" s="44"/>
      <c r="BP124" s="44"/>
      <c r="BQ124" s="44"/>
      <c r="BR124" s="44"/>
      <c r="BS124" s="44"/>
      <c r="BT124" s="44"/>
      <c r="BU124" s="44"/>
      <c r="BV124" s="44"/>
      <c r="BW124" s="44"/>
      <c r="BX124" s="44"/>
      <c r="BY124" s="44"/>
      <c r="BZ124" s="44"/>
      <c r="CA124" s="44"/>
      <c r="CB124" s="44"/>
      <c r="CC124" s="44"/>
      <c r="CD124" s="44"/>
      <c r="CE124" s="44"/>
      <c r="CF124" s="44"/>
      <c r="CG124" s="44"/>
      <c r="CH124" s="44"/>
      <c r="CI124" s="44"/>
      <c r="CJ124" s="44"/>
    </row>
    <row r="125" spans="31:88" ht="15" customHeight="1">
      <c r="AE125" s="44"/>
      <c r="AF125" s="44"/>
      <c r="AG125" s="44"/>
      <c r="AH125" s="44"/>
      <c r="AI125" s="44"/>
      <c r="AJ125" s="44"/>
      <c r="AK125" s="44"/>
      <c r="AL125" s="44"/>
      <c r="AM125" s="44"/>
      <c r="AN125" s="44"/>
      <c r="AO125" s="44"/>
      <c r="AP125" s="44"/>
      <c r="AQ125" s="44"/>
      <c r="AR125" s="44"/>
      <c r="AS125" s="44"/>
      <c r="AT125" s="44"/>
      <c r="AU125" s="44"/>
      <c r="AV125" s="44"/>
      <c r="AW125" s="44"/>
      <c r="AX125" s="44"/>
      <c r="AY125" s="44"/>
      <c r="AZ125" s="44"/>
      <c r="BA125" s="44"/>
      <c r="BB125" s="44"/>
      <c r="BC125" s="44"/>
      <c r="BD125" s="44"/>
      <c r="BE125" s="44"/>
      <c r="BF125" s="44"/>
      <c r="BG125" s="44"/>
      <c r="BH125" s="44"/>
      <c r="BI125" s="44"/>
      <c r="BJ125" s="44"/>
      <c r="BK125" s="44"/>
      <c r="BL125" s="44"/>
      <c r="BM125" s="44"/>
      <c r="BN125" s="44"/>
      <c r="BO125" s="44"/>
      <c r="BP125" s="44"/>
      <c r="BQ125" s="44"/>
      <c r="BR125" s="44"/>
      <c r="BS125" s="44"/>
      <c r="BT125" s="44"/>
      <c r="BU125" s="44"/>
      <c r="BV125" s="44"/>
      <c r="BW125" s="44"/>
      <c r="BX125" s="44"/>
      <c r="BY125" s="44"/>
      <c r="BZ125" s="44"/>
      <c r="CA125" s="44"/>
      <c r="CB125" s="44"/>
      <c r="CC125" s="44"/>
      <c r="CD125" s="44"/>
      <c r="CE125" s="44"/>
      <c r="CF125" s="44"/>
      <c r="CG125" s="44"/>
      <c r="CH125" s="44"/>
      <c r="CI125" s="44"/>
      <c r="CJ125" s="44"/>
    </row>
    <row r="126" spans="31:88" ht="15" customHeight="1">
      <c r="AE126" s="44"/>
      <c r="AF126" s="44"/>
      <c r="AG126" s="44"/>
      <c r="AH126" s="44"/>
      <c r="AI126" s="44"/>
      <c r="AJ126" s="44"/>
      <c r="AK126" s="44"/>
      <c r="AL126" s="44"/>
      <c r="AM126" s="44"/>
      <c r="AN126" s="44"/>
      <c r="AO126" s="44"/>
      <c r="AP126" s="44"/>
      <c r="AQ126" s="44"/>
      <c r="AR126" s="44"/>
      <c r="AS126" s="44"/>
      <c r="AT126" s="44"/>
      <c r="AU126" s="44"/>
      <c r="AV126" s="44"/>
      <c r="AW126" s="44"/>
      <c r="AX126" s="44"/>
      <c r="AY126" s="44"/>
      <c r="AZ126" s="44"/>
      <c r="BA126" s="44"/>
      <c r="BB126" s="44"/>
      <c r="BC126" s="44"/>
      <c r="BD126" s="44"/>
      <c r="BE126" s="44"/>
      <c r="BF126" s="44"/>
      <c r="BG126" s="44"/>
      <c r="BH126" s="44"/>
      <c r="BI126" s="44"/>
      <c r="BJ126" s="44"/>
      <c r="BK126" s="44"/>
      <c r="BL126" s="44"/>
      <c r="BM126" s="44"/>
      <c r="BN126" s="44"/>
      <c r="BO126" s="44"/>
      <c r="BP126" s="44"/>
      <c r="BQ126" s="44"/>
      <c r="BR126" s="44"/>
      <c r="BS126" s="44"/>
      <c r="BT126" s="44"/>
      <c r="BU126" s="44"/>
      <c r="BV126" s="44"/>
      <c r="BW126" s="44"/>
      <c r="BX126" s="44"/>
      <c r="BY126" s="44"/>
      <c r="BZ126" s="44"/>
      <c r="CA126" s="44"/>
      <c r="CB126" s="44"/>
      <c r="CC126" s="44"/>
      <c r="CD126" s="44"/>
      <c r="CE126" s="44"/>
      <c r="CF126" s="44"/>
      <c r="CG126" s="44"/>
      <c r="CH126" s="44"/>
      <c r="CI126" s="44"/>
      <c r="CJ126" s="44"/>
    </row>
    <row r="127" spans="31:88" ht="15" customHeight="1">
      <c r="AE127" s="33"/>
      <c r="AF127" s="33"/>
      <c r="AG127" s="33"/>
      <c r="AH127" s="33"/>
      <c r="AI127" s="33"/>
      <c r="AJ127" s="33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U127" s="33"/>
      <c r="AV127" s="33"/>
      <c r="AW127" s="33"/>
      <c r="AX127" s="33"/>
      <c r="AY127" s="33"/>
      <c r="AZ127" s="33"/>
      <c r="BA127" s="33"/>
      <c r="BB127" s="33"/>
      <c r="BC127" s="33"/>
      <c r="BD127" s="33"/>
      <c r="BE127" s="33"/>
      <c r="BF127" s="33"/>
      <c r="BG127" s="33"/>
      <c r="BH127" s="33"/>
      <c r="BI127" s="34"/>
      <c r="BJ127" s="33"/>
      <c r="BK127" s="33"/>
      <c r="BL127" s="33"/>
      <c r="BM127" s="33"/>
      <c r="BN127" s="33"/>
      <c r="BO127" s="33"/>
      <c r="BP127" s="48"/>
      <c r="BQ127" s="48"/>
      <c r="BR127" s="35"/>
      <c r="BS127" s="35"/>
      <c r="BT127" s="35"/>
      <c r="BU127" s="35"/>
      <c r="BV127" s="35"/>
      <c r="BW127" s="35"/>
      <c r="BX127" s="35"/>
      <c r="BY127" s="35"/>
      <c r="BZ127" s="35"/>
      <c r="CA127" s="35"/>
      <c r="CB127" s="35"/>
      <c r="CC127" s="35"/>
      <c r="CD127" s="35"/>
      <c r="CE127" s="35"/>
      <c r="CF127" s="35"/>
      <c r="CG127" s="35"/>
      <c r="CH127" s="35"/>
      <c r="CI127" s="35"/>
      <c r="CJ127" s="25"/>
    </row>
    <row r="128" spans="31:87" ht="15.75" customHeight="1"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1"/>
      <c r="BJ128" s="10"/>
      <c r="BK128" s="10"/>
      <c r="BL128" s="10"/>
      <c r="BM128" s="10"/>
      <c r="BN128" s="10"/>
      <c r="BO128" s="10"/>
      <c r="BP128" s="12"/>
      <c r="BQ128" s="12"/>
      <c r="BR128" s="13"/>
      <c r="BS128" s="13"/>
      <c r="BT128" s="13"/>
      <c r="BU128" s="13"/>
      <c r="BV128" s="13"/>
      <c r="BW128" s="13"/>
      <c r="BX128" s="13"/>
      <c r="BY128" s="13"/>
      <c r="BZ128" s="13"/>
      <c r="CA128" s="13"/>
      <c r="CB128" s="13"/>
      <c r="CC128" s="13"/>
      <c r="CD128" s="13"/>
      <c r="CE128" s="13"/>
      <c r="CF128" s="13"/>
      <c r="CG128" s="13"/>
      <c r="CH128" s="13"/>
      <c r="CI128" s="13"/>
    </row>
    <row r="129" spans="31:87" ht="15.75" customHeight="1">
      <c r="AE129" s="14"/>
      <c r="AF129" s="15"/>
      <c r="AG129" s="15"/>
      <c r="AH129" s="15"/>
      <c r="AI129" s="14"/>
      <c r="AJ129" s="15"/>
      <c r="AK129" s="15"/>
      <c r="AL129" s="15"/>
      <c r="AM129" s="15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1"/>
      <c r="BJ129" s="10"/>
      <c r="BK129" s="10"/>
      <c r="BL129" s="10"/>
      <c r="BM129" s="10"/>
      <c r="BN129" s="14"/>
      <c r="BO129" s="14"/>
      <c r="BP129" s="16"/>
      <c r="BQ129" s="12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  <c r="CG129" s="13"/>
      <c r="CH129" s="13"/>
      <c r="CI129" s="13"/>
    </row>
    <row r="130" spans="31:87" ht="12.75"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1"/>
      <c r="BJ130" s="10"/>
      <c r="BK130" s="10"/>
      <c r="BL130" s="10"/>
      <c r="BM130" s="10"/>
      <c r="BN130" s="10"/>
      <c r="BO130" s="10"/>
      <c r="BP130" s="12"/>
      <c r="BQ130" s="12"/>
      <c r="BR130" s="13"/>
      <c r="BS130" s="13"/>
      <c r="BT130" s="13"/>
      <c r="BU130" s="13"/>
      <c r="BV130" s="13"/>
      <c r="BW130" s="13"/>
      <c r="BX130" s="13"/>
      <c r="BY130" s="13"/>
      <c r="BZ130" s="13"/>
      <c r="CA130" s="13"/>
      <c r="CB130" s="13"/>
      <c r="CC130" s="13"/>
      <c r="CD130" s="13"/>
      <c r="CE130" s="13"/>
      <c r="CF130" s="13"/>
      <c r="CG130" s="13"/>
      <c r="CH130" s="13"/>
      <c r="CI130" s="13"/>
    </row>
    <row r="131" spans="31:87" ht="12.75"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8"/>
      <c r="BJ131" s="10"/>
      <c r="BK131" s="10"/>
      <c r="BL131" s="10"/>
      <c r="BM131" s="10"/>
      <c r="BN131" s="10"/>
      <c r="BO131" s="10"/>
      <c r="BP131" s="12"/>
      <c r="BQ131" s="12"/>
      <c r="BR131" s="13"/>
      <c r="BS131" s="13"/>
      <c r="BT131" s="13"/>
      <c r="BU131" s="13"/>
      <c r="BV131" s="13"/>
      <c r="BW131" s="13"/>
      <c r="BX131" s="13"/>
      <c r="BY131" s="13"/>
      <c r="BZ131" s="13"/>
      <c r="CA131" s="13"/>
      <c r="CB131" s="13"/>
      <c r="CC131" s="13"/>
      <c r="CD131" s="13"/>
      <c r="CE131" s="13"/>
      <c r="CF131" s="13"/>
      <c r="CG131" s="13"/>
      <c r="CH131" s="13"/>
      <c r="CI131" s="13"/>
    </row>
    <row r="132" spans="31:87" ht="12.75"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8"/>
      <c r="BJ132" s="13"/>
      <c r="BK132" s="13"/>
      <c r="BL132" s="13"/>
      <c r="BM132" s="13"/>
      <c r="BN132" s="13"/>
      <c r="BO132" s="13"/>
      <c r="BP132" s="12"/>
      <c r="BQ132" s="12"/>
      <c r="BR132" s="13"/>
      <c r="BS132" s="13"/>
      <c r="BT132" s="13"/>
      <c r="BU132" s="13"/>
      <c r="BV132" s="13"/>
      <c r="BW132" s="13"/>
      <c r="BX132" s="13"/>
      <c r="BY132" s="13"/>
      <c r="BZ132" s="13"/>
      <c r="CA132" s="13"/>
      <c r="CB132" s="13"/>
      <c r="CC132" s="13"/>
      <c r="CD132" s="13"/>
      <c r="CE132" s="13"/>
      <c r="CF132" s="13"/>
      <c r="CG132" s="13"/>
      <c r="CH132" s="13"/>
      <c r="CI132" s="13"/>
    </row>
    <row r="133" spans="31:87" ht="12.75"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8"/>
      <c r="BJ133" s="13"/>
      <c r="BK133" s="13"/>
      <c r="BL133" s="13"/>
      <c r="BM133" s="13"/>
      <c r="BN133" s="13"/>
      <c r="BO133" s="13"/>
      <c r="BP133" s="12"/>
      <c r="BQ133" s="12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</row>
    <row r="134" spans="31:87" ht="12.75"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8"/>
      <c r="BJ134" s="13"/>
      <c r="BK134" s="13"/>
      <c r="BL134" s="13"/>
      <c r="BM134" s="13"/>
      <c r="BN134" s="13"/>
      <c r="BO134" s="13"/>
      <c r="BP134" s="12"/>
      <c r="BQ134" s="12"/>
      <c r="BR134" s="13"/>
      <c r="BS134" s="13"/>
      <c r="BT134" s="13"/>
      <c r="BU134" s="13"/>
      <c r="BV134" s="13"/>
      <c r="BW134" s="13"/>
      <c r="BX134" s="13"/>
      <c r="BY134" s="13"/>
      <c r="BZ134" s="13"/>
      <c r="CA134" s="13"/>
      <c r="CB134" s="13"/>
      <c r="CC134" s="13"/>
      <c r="CD134" s="13"/>
      <c r="CE134" s="13"/>
      <c r="CF134" s="13"/>
      <c r="CG134" s="13"/>
      <c r="CH134" s="13"/>
      <c r="CI134" s="13"/>
    </row>
    <row r="135" spans="31:87" ht="12.75"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8"/>
      <c r="BJ135" s="13"/>
      <c r="BK135" s="13"/>
      <c r="BL135" s="13"/>
      <c r="BM135" s="13"/>
      <c r="BN135" s="13"/>
      <c r="BO135" s="13"/>
      <c r="BP135" s="12"/>
      <c r="BQ135" s="12"/>
      <c r="BR135" s="13"/>
      <c r="BS135" s="13"/>
      <c r="BT135" s="13"/>
      <c r="BU135" s="13"/>
      <c r="BV135" s="13"/>
      <c r="BW135" s="13"/>
      <c r="BX135" s="13"/>
      <c r="BY135" s="13"/>
      <c r="BZ135" s="13"/>
      <c r="CA135" s="13"/>
      <c r="CB135" s="13"/>
      <c r="CC135" s="13"/>
      <c r="CD135" s="13"/>
      <c r="CE135" s="13"/>
      <c r="CF135" s="13"/>
      <c r="CG135" s="13"/>
      <c r="CH135" s="13"/>
      <c r="CI135" s="13"/>
    </row>
    <row r="136" spans="31:87" ht="12.75"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8"/>
      <c r="BJ136" s="13"/>
      <c r="BK136" s="13"/>
      <c r="BL136" s="13"/>
      <c r="BM136" s="13"/>
      <c r="BN136" s="13"/>
      <c r="BO136" s="13"/>
      <c r="BP136" s="12"/>
      <c r="BQ136" s="12"/>
      <c r="BR136" s="13"/>
      <c r="BS136" s="13"/>
      <c r="BT136" s="13"/>
      <c r="BU136" s="13"/>
      <c r="BV136" s="13"/>
      <c r="BW136" s="13"/>
      <c r="BX136" s="13"/>
      <c r="BY136" s="13"/>
      <c r="BZ136" s="13"/>
      <c r="CA136" s="13"/>
      <c r="CB136" s="13"/>
      <c r="CC136" s="13"/>
      <c r="CD136" s="13"/>
      <c r="CE136" s="13"/>
      <c r="CF136" s="13"/>
      <c r="CG136" s="13"/>
      <c r="CH136" s="13"/>
      <c r="CI136" s="13"/>
    </row>
    <row r="137" spans="31:87" ht="12.75"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8"/>
      <c r="BJ137" s="13"/>
      <c r="BK137" s="13"/>
      <c r="BL137" s="13"/>
      <c r="BM137" s="13"/>
      <c r="BN137" s="13"/>
      <c r="BO137" s="13"/>
      <c r="BP137" s="12"/>
      <c r="BQ137" s="12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13"/>
      <c r="CD137" s="13"/>
      <c r="CE137" s="13"/>
      <c r="CF137" s="13"/>
      <c r="CG137" s="13"/>
      <c r="CH137" s="13"/>
      <c r="CI137" s="13"/>
    </row>
    <row r="138" spans="31:87" ht="12.75"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8"/>
      <c r="BJ138" s="13"/>
      <c r="BK138" s="13"/>
      <c r="BL138" s="13"/>
      <c r="BM138" s="13"/>
      <c r="BN138" s="13"/>
      <c r="BO138" s="13"/>
      <c r="BP138" s="12"/>
      <c r="BQ138" s="12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</row>
    <row r="139" spans="31:87" ht="12.75"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2"/>
      <c r="BQ139" s="12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/>
      <c r="CD139" s="13"/>
      <c r="CE139" s="13"/>
      <c r="CF139" s="13"/>
      <c r="CG139" s="13"/>
      <c r="CH139" s="13"/>
      <c r="CI139" s="13"/>
    </row>
    <row r="140" spans="31:87" ht="12.75"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2"/>
      <c r="BQ140" s="12"/>
      <c r="BR140" s="13"/>
      <c r="BS140" s="13"/>
      <c r="BT140" s="13"/>
      <c r="BU140" s="13"/>
      <c r="BV140" s="13"/>
      <c r="BW140" s="13"/>
      <c r="BX140" s="13"/>
      <c r="BY140" s="13"/>
      <c r="BZ140" s="13"/>
      <c r="CA140" s="13"/>
      <c r="CB140" s="13"/>
      <c r="CC140" s="13"/>
      <c r="CD140" s="13"/>
      <c r="CE140" s="13"/>
      <c r="CF140" s="13"/>
      <c r="CG140" s="13"/>
      <c r="CH140" s="13"/>
      <c r="CI140" s="13"/>
    </row>
    <row r="141" spans="31:87" ht="12.75"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 s="12"/>
      <c r="BQ141" s="12"/>
      <c r="BR141" s="13"/>
      <c r="BS141" s="13"/>
      <c r="BT141" s="13"/>
      <c r="BU141" s="13"/>
      <c r="BV141" s="13"/>
      <c r="BW141" s="13"/>
      <c r="BX141" s="13"/>
      <c r="BY141" s="13"/>
      <c r="BZ141" s="13"/>
      <c r="CA141" s="13"/>
      <c r="CB141" s="13"/>
      <c r="CC141" s="13"/>
      <c r="CD141" s="13"/>
      <c r="CE141" s="13"/>
      <c r="CF141" s="13"/>
      <c r="CG141" s="13"/>
      <c r="CH141" s="13"/>
      <c r="CI141" s="13"/>
    </row>
    <row r="142" spans="31:87" ht="12.75"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2"/>
      <c r="BQ142" s="12"/>
      <c r="BR142" s="13"/>
      <c r="BS142" s="13"/>
      <c r="BT142" s="13"/>
      <c r="BU142" s="13"/>
      <c r="BV142" s="13"/>
      <c r="BW142" s="13"/>
      <c r="BX142" s="13"/>
      <c r="BY142" s="13"/>
      <c r="BZ142" s="13"/>
      <c r="CA142" s="13"/>
      <c r="CB142" s="13"/>
      <c r="CC142" s="13"/>
      <c r="CD142" s="13"/>
      <c r="CE142" s="13"/>
      <c r="CF142" s="13"/>
      <c r="CG142" s="13"/>
      <c r="CH142" s="13"/>
      <c r="CI142" s="13"/>
    </row>
    <row r="143" spans="31:87" ht="12.75"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  <c r="BO143" s="13"/>
      <c r="BP143" s="12"/>
      <c r="BQ143" s="12"/>
      <c r="BR143" s="13"/>
      <c r="BS143" s="13"/>
      <c r="BT143" s="13"/>
      <c r="BU143" s="13"/>
      <c r="BV143" s="13"/>
      <c r="BW143" s="13"/>
      <c r="BX143" s="13"/>
      <c r="BY143" s="13"/>
      <c r="BZ143" s="13"/>
      <c r="CA143" s="13"/>
      <c r="CB143" s="13"/>
      <c r="CC143" s="13"/>
      <c r="CD143" s="13"/>
      <c r="CE143" s="13"/>
      <c r="CF143" s="13"/>
      <c r="CG143" s="13"/>
      <c r="CH143" s="13"/>
      <c r="CI143" s="13"/>
    </row>
    <row r="144" spans="31:87" ht="12.75"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2"/>
      <c r="BQ144" s="12"/>
      <c r="BR144" s="13"/>
      <c r="BS144" s="13"/>
      <c r="BT144" s="13"/>
      <c r="BU144" s="13"/>
      <c r="BV144" s="13"/>
      <c r="BW144" s="13"/>
      <c r="BX144" s="13"/>
      <c r="BY144" s="13"/>
      <c r="BZ144" s="13"/>
      <c r="CA144" s="13"/>
      <c r="CB144" s="13"/>
      <c r="CC144" s="13"/>
      <c r="CD144" s="13"/>
      <c r="CE144" s="13"/>
      <c r="CF144" s="13"/>
      <c r="CG144" s="13"/>
      <c r="CH144" s="13"/>
      <c r="CI144" s="13"/>
    </row>
    <row r="145" spans="68:84" ht="12.75">
      <c r="BP145" s="3"/>
      <c r="BQ145" s="3"/>
      <c r="CF145" s="13"/>
    </row>
    <row r="146" spans="68:84" ht="12.75">
      <c r="BP146" s="3"/>
      <c r="BQ146" s="3"/>
      <c r="CF146" s="13"/>
    </row>
    <row r="147" spans="68:84" ht="12.75">
      <c r="BP147" s="3"/>
      <c r="BQ147" s="3"/>
      <c r="CF147" s="13"/>
    </row>
    <row r="148" spans="68:84" ht="12.75">
      <c r="BP148" s="3"/>
      <c r="BQ148" s="3"/>
      <c r="CF148" s="13"/>
    </row>
    <row r="149" spans="68:84" ht="12.75">
      <c r="BP149" s="3"/>
      <c r="BQ149" s="3"/>
      <c r="CF149" s="13"/>
    </row>
    <row r="150" spans="68:84" ht="12.75">
      <c r="BP150" s="3"/>
      <c r="BQ150" s="3"/>
      <c r="CF150" s="13"/>
    </row>
    <row r="151" spans="68:84" ht="12.75">
      <c r="BP151" s="3"/>
      <c r="BQ151" s="3"/>
      <c r="CF151" s="13"/>
    </row>
    <row r="152" spans="68:84" ht="12.75">
      <c r="BP152" s="3"/>
      <c r="BQ152" s="3"/>
      <c r="CF152" s="13"/>
    </row>
    <row r="153" spans="68:84" ht="12.75">
      <c r="BP153" s="3"/>
      <c r="BQ153" s="3"/>
      <c r="CF153" s="13"/>
    </row>
    <row r="154" spans="68:84" ht="12.75">
      <c r="BP154" s="3"/>
      <c r="BQ154" s="3"/>
      <c r="CF154" s="13"/>
    </row>
    <row r="155" spans="68:84" ht="12.75">
      <c r="BP155" s="3"/>
      <c r="BQ155" s="3"/>
      <c r="CF155" s="13"/>
    </row>
    <row r="156" spans="68:84" ht="12.75">
      <c r="BP156" s="3"/>
      <c r="BQ156" s="3"/>
      <c r="CF156" s="13"/>
    </row>
    <row r="157" spans="68:84" ht="12.75">
      <c r="BP157" s="3"/>
      <c r="BQ157" s="3"/>
      <c r="CF157" s="13"/>
    </row>
    <row r="158" spans="68:84" ht="12.75">
      <c r="BP158" s="3"/>
      <c r="BQ158" s="3"/>
      <c r="CF158" s="13"/>
    </row>
    <row r="159" spans="68:84" ht="12.75">
      <c r="BP159" s="3"/>
      <c r="BQ159" s="3"/>
      <c r="CF159" s="13"/>
    </row>
    <row r="160" spans="68:84" ht="12.75">
      <c r="BP160" s="3"/>
      <c r="BQ160" s="3"/>
      <c r="CF160" s="13"/>
    </row>
    <row r="161" spans="68:84" ht="12.75">
      <c r="BP161" s="3"/>
      <c r="BQ161" s="3"/>
      <c r="CF161" s="13"/>
    </row>
    <row r="162" spans="68:84" ht="12.75">
      <c r="BP162" s="3"/>
      <c r="BQ162" s="3"/>
      <c r="CF162" s="13"/>
    </row>
    <row r="163" spans="68:84" ht="12.75">
      <c r="BP163" s="3"/>
      <c r="BQ163" s="3"/>
      <c r="CF163" s="13"/>
    </row>
    <row r="164" spans="68:84" ht="12.75">
      <c r="BP164" s="3"/>
      <c r="BQ164" s="3"/>
      <c r="CF164" s="13"/>
    </row>
    <row r="165" spans="68:84" ht="12.75">
      <c r="BP165" s="3"/>
      <c r="BQ165" s="3"/>
      <c r="CF165" s="13"/>
    </row>
    <row r="166" spans="68:84" ht="12.75">
      <c r="BP166" s="3"/>
      <c r="BQ166" s="3"/>
      <c r="CF166" s="13"/>
    </row>
    <row r="167" spans="68:84" ht="12.75">
      <c r="BP167" s="3"/>
      <c r="BQ167" s="3"/>
      <c r="CF167" s="13"/>
    </row>
    <row r="168" spans="68:84" ht="12.75">
      <c r="BP168" s="3"/>
      <c r="BQ168" s="3"/>
      <c r="CF168" s="13"/>
    </row>
    <row r="169" spans="68:84" ht="12.75">
      <c r="BP169" s="3"/>
      <c r="BQ169" s="3"/>
      <c r="CF169" s="13"/>
    </row>
  </sheetData>
  <sheetProtection/>
  <mergeCells count="45">
    <mergeCell ref="H6:I6"/>
    <mergeCell ref="J6:K6"/>
    <mergeCell ref="L6:M6"/>
    <mergeCell ref="N6:O6"/>
    <mergeCell ref="AT6:AU6"/>
    <mergeCell ref="AZ6:BA6"/>
    <mergeCell ref="V6:W6"/>
    <mergeCell ref="AV6:AW6"/>
    <mergeCell ref="AX6:AY6"/>
    <mergeCell ref="A6:A7"/>
    <mergeCell ref="AJ6:AK6"/>
    <mergeCell ref="AL6:AM6"/>
    <mergeCell ref="X6:Y6"/>
    <mergeCell ref="Z6:AA6"/>
    <mergeCell ref="F6:G6"/>
    <mergeCell ref="CH6:CI6"/>
    <mergeCell ref="BV6:BW6"/>
    <mergeCell ref="BX6:BY6"/>
    <mergeCell ref="BZ6:CA6"/>
    <mergeCell ref="CB6:CC6"/>
    <mergeCell ref="P6:Q6"/>
    <mergeCell ref="R6:S6"/>
    <mergeCell ref="BD6:BE6"/>
    <mergeCell ref="AP6:AQ6"/>
    <mergeCell ref="AR6:AS6"/>
    <mergeCell ref="BJ6:BK6"/>
    <mergeCell ref="BP6:BQ6"/>
    <mergeCell ref="BR6:BS6"/>
    <mergeCell ref="B6:C6"/>
    <mergeCell ref="D6:E6"/>
    <mergeCell ref="AB6:AC6"/>
    <mergeCell ref="AD6:AE6"/>
    <mergeCell ref="AF6:AG6"/>
    <mergeCell ref="AH6:AI6"/>
    <mergeCell ref="AN6:AO6"/>
    <mergeCell ref="I12:J12"/>
    <mergeCell ref="BT6:BU6"/>
    <mergeCell ref="CD6:CE6"/>
    <mergeCell ref="CF6:CG6"/>
    <mergeCell ref="BL6:BM6"/>
    <mergeCell ref="BN6:BO6"/>
    <mergeCell ref="BF6:BG6"/>
    <mergeCell ref="T6:U6"/>
    <mergeCell ref="BB6:BC6"/>
    <mergeCell ref="BH6:BI6"/>
  </mergeCells>
  <printOptions/>
  <pageMargins left="1.3779527559055118" right="0.5905511811023623" top="0.9448818897637796" bottom="0.6692913385826772" header="0" footer="0"/>
  <pageSetup fitToHeight="1" fitToWidth="1" horizontalDpi="600" verticalDpi="600" orientation="landscape" scale="91" r:id="rId3"/>
  <legacyDrawing r:id="rId2"/>
  <oleObjects>
    <oleObject progId="MSPhotoEd.3" shapeId="230066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AG28"/>
  <sheetViews>
    <sheetView zoomScalePageLayoutView="0" workbookViewId="0" topLeftCell="A4">
      <selection activeCell="K27" sqref="J27:K27"/>
    </sheetView>
  </sheetViews>
  <sheetFormatPr defaultColWidth="11.421875" defaultRowHeight="12.75"/>
  <cols>
    <col min="1" max="1" width="36.7109375" style="0" customWidth="1"/>
    <col min="2" max="3" width="11.28125" style="0" customWidth="1"/>
  </cols>
  <sheetData>
    <row r="1" ht="13.5">
      <c r="A1" s="24" t="s">
        <v>91</v>
      </c>
    </row>
    <row r="2" ht="13.5">
      <c r="A2" s="24" t="s">
        <v>71</v>
      </c>
    </row>
    <row r="3" ht="13.5">
      <c r="A3" s="24" t="s">
        <v>72</v>
      </c>
    </row>
    <row r="4" ht="13.5">
      <c r="A4" s="24" t="s">
        <v>129</v>
      </c>
    </row>
    <row r="5" ht="14.25" thickBot="1">
      <c r="A5" s="24" t="s">
        <v>73</v>
      </c>
    </row>
    <row r="6" spans="1:5" ht="13.5" thickBot="1">
      <c r="A6" s="372" t="s">
        <v>56</v>
      </c>
      <c r="B6" s="376" t="s">
        <v>10</v>
      </c>
      <c r="C6" s="377"/>
      <c r="D6" s="376" t="s">
        <v>3</v>
      </c>
      <c r="E6" s="377"/>
    </row>
    <row r="7" spans="1:5" ht="13.5" thickBot="1">
      <c r="A7" s="373"/>
      <c r="B7" s="263">
        <v>40695</v>
      </c>
      <c r="C7" s="263">
        <v>41061</v>
      </c>
      <c r="D7" s="263">
        <v>40695</v>
      </c>
      <c r="E7" s="263">
        <v>41061</v>
      </c>
    </row>
    <row r="8" spans="1:33" ht="13.5" thickBot="1">
      <c r="A8" s="72" t="s">
        <v>40</v>
      </c>
      <c r="B8" s="86"/>
      <c r="C8" s="86"/>
      <c r="D8" s="86"/>
      <c r="E8" s="8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43"/>
      <c r="V8" s="43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</row>
    <row r="9" spans="1:33" ht="13.5" thickBot="1">
      <c r="A9" s="73" t="s">
        <v>60</v>
      </c>
      <c r="B9" s="264">
        <f>+D9</f>
        <v>0.8618217654413134</v>
      </c>
      <c r="C9" s="264">
        <f>+E9</f>
        <v>1.0986635661236452</v>
      </c>
      <c r="D9" s="264">
        <f>8!D10/8!D15</f>
        <v>0.8618217654413134</v>
      </c>
      <c r="E9" s="264">
        <f>8!E10/8!E15</f>
        <v>1.0986635661236452</v>
      </c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</row>
    <row r="10" spans="1:33" ht="13.5" thickBot="1">
      <c r="A10" s="72" t="s">
        <v>41</v>
      </c>
      <c r="B10" s="77"/>
      <c r="C10" s="77"/>
      <c r="D10" s="77"/>
      <c r="E10" s="77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</row>
    <row r="11" spans="1:33" ht="12.75">
      <c r="A11" s="75" t="s">
        <v>8</v>
      </c>
      <c r="B11" s="258">
        <f aca="true" t="shared" si="0" ref="B11:C14">+D11</f>
        <v>0.19142005224530828</v>
      </c>
      <c r="C11" s="258">
        <f t="shared" si="0"/>
        <v>0.16262542296391186</v>
      </c>
      <c r="D11" s="258">
        <f>+8!D15/8!D18</f>
        <v>0.19142005224530828</v>
      </c>
      <c r="E11" s="258">
        <f>+8!E15/8!E18</f>
        <v>0.16262542296391186</v>
      </c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</row>
    <row r="12" spans="1:33" ht="12.75">
      <c r="A12" s="55" t="s">
        <v>42</v>
      </c>
      <c r="B12" s="258">
        <f t="shared" si="0"/>
        <v>-2.4876801408471056</v>
      </c>
      <c r="C12" s="258">
        <f t="shared" si="0"/>
        <v>11.34525621407675</v>
      </c>
      <c r="D12" s="259">
        <f>8!D18/8!D24</f>
        <v>-2.4876801408471056</v>
      </c>
      <c r="E12" s="259">
        <f>8!E18/8!E24</f>
        <v>11.34525621407675</v>
      </c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</row>
    <row r="13" spans="1:33" ht="12.75">
      <c r="A13" s="56" t="s">
        <v>43</v>
      </c>
      <c r="B13" s="258">
        <f t="shared" si="0"/>
        <v>-1.2421752399640411</v>
      </c>
      <c r="C13" s="258">
        <f t="shared" si="0"/>
        <v>4.563670793981354</v>
      </c>
      <c r="D13" s="259">
        <f>8!D16/8!D24</f>
        <v>-1.2421752399640411</v>
      </c>
      <c r="E13" s="259">
        <f>8!E16/8!E24</f>
        <v>4.563670793981354</v>
      </c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</row>
    <row r="14" spans="1:33" ht="13.5" thickBot="1">
      <c r="A14" s="78" t="s">
        <v>44</v>
      </c>
      <c r="B14" s="258">
        <f t="shared" si="0"/>
        <v>1.6721875597813705</v>
      </c>
      <c r="C14" s="258">
        <f t="shared" si="0"/>
        <v>0.9189972259255548</v>
      </c>
      <c r="D14" s="260">
        <f>8!D18/8!D13</f>
        <v>1.6721875597813705</v>
      </c>
      <c r="E14" s="260">
        <f>8!E18/8!E13</f>
        <v>0.9189972259255548</v>
      </c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</row>
    <row r="15" spans="1:33" ht="13.5" thickBot="1">
      <c r="A15" s="72" t="s">
        <v>45</v>
      </c>
      <c r="B15" s="77"/>
      <c r="C15" s="77"/>
      <c r="D15" s="77"/>
      <c r="E15" s="77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</row>
    <row r="16" spans="1:33" ht="12.75">
      <c r="A16" s="75" t="s">
        <v>58</v>
      </c>
      <c r="B16" s="261">
        <f>+D16</f>
        <v>0.5980190404781773</v>
      </c>
      <c r="C16" s="261">
        <f>+E16</f>
        <v>1.0881425664727817</v>
      </c>
      <c r="D16" s="261">
        <f>8!D13/8!D18</f>
        <v>0.5980190404781773</v>
      </c>
      <c r="E16" s="261">
        <f>8!E13/8!E18</f>
        <v>1.0881425664727817</v>
      </c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</row>
    <row r="17" spans="1:33" ht="13.5" thickBot="1">
      <c r="A17" s="78" t="s">
        <v>57</v>
      </c>
      <c r="B17" s="261">
        <f>+D17</f>
        <v>3.1241190954843385</v>
      </c>
      <c r="C17" s="261">
        <f>+E17</f>
        <v>6.69109753346653</v>
      </c>
      <c r="D17" s="260">
        <f>8!D13/8!D15</f>
        <v>3.1241190954843385</v>
      </c>
      <c r="E17" s="260">
        <f>8!E13/8!E15</f>
        <v>6.69109753346653</v>
      </c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</row>
    <row r="18" spans="1:33" ht="13.5" thickBot="1">
      <c r="A18" s="72" t="s">
        <v>47</v>
      </c>
      <c r="B18" s="77"/>
      <c r="C18" s="77"/>
      <c r="D18" s="77"/>
      <c r="E18" s="77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</row>
    <row r="19" spans="1:33" ht="12.75">
      <c r="A19" s="75" t="s">
        <v>48</v>
      </c>
      <c r="B19" s="261">
        <f>+D19</f>
        <v>0.6409736067248355</v>
      </c>
      <c r="C19" s="261">
        <f>+E19</f>
        <v>1.6874286700806742</v>
      </c>
      <c r="D19" s="261">
        <f>8!D11/8!D16</f>
        <v>0.6409736067248355</v>
      </c>
      <c r="E19" s="261">
        <f>8!E11/8!E16</f>
        <v>1.6874286700806742</v>
      </c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</row>
    <row r="20" spans="1:33" ht="13.5" thickBot="1">
      <c r="A20" s="78" t="s">
        <v>46</v>
      </c>
      <c r="B20" s="261">
        <f>+D20</f>
        <v>0.5980190404781773</v>
      </c>
      <c r="C20" s="261">
        <f>+E20</f>
        <v>1.0881425664727817</v>
      </c>
      <c r="D20" s="260">
        <f>8!D13/8!D18</f>
        <v>0.5980190404781773</v>
      </c>
      <c r="E20" s="260">
        <f>8!E13/8!E18</f>
        <v>1.0881425664727817</v>
      </c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</row>
    <row r="21" spans="1:33" ht="13.5" thickBot="1">
      <c r="A21" s="72" t="s">
        <v>49</v>
      </c>
      <c r="B21" s="77"/>
      <c r="C21" s="77"/>
      <c r="D21" s="77"/>
      <c r="E21" s="77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</row>
    <row r="22" spans="1:33" ht="13.5" thickBot="1">
      <c r="A22" s="80" t="s">
        <v>55</v>
      </c>
      <c r="B22" s="257">
        <f>+D22</f>
        <v>-0.6721875261712531</v>
      </c>
      <c r="C22" s="257">
        <f>+E22</f>
        <v>0.08100277407444523</v>
      </c>
      <c r="D22" s="257">
        <f>8!D24/8!D13</f>
        <v>-0.6721875261712531</v>
      </c>
      <c r="E22" s="257">
        <f>8!E24/8!E13</f>
        <v>0.08100277407444523</v>
      </c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</row>
    <row r="23" spans="1:33" ht="13.5" thickBot="1">
      <c r="A23" s="72" t="s">
        <v>50</v>
      </c>
      <c r="B23" s="77"/>
      <c r="C23" s="77"/>
      <c r="D23" s="77"/>
      <c r="E23" s="77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</row>
    <row r="24" spans="1:33" ht="12.75">
      <c r="A24" s="75" t="s">
        <v>59</v>
      </c>
      <c r="B24" s="261">
        <f>+D24</f>
        <v>-0.040289570370047705</v>
      </c>
      <c r="C24" s="261">
        <f>+E24</f>
        <v>-0.02522865588079834</v>
      </c>
      <c r="D24" s="261">
        <f>8!D36/8!D28</f>
        <v>-0.040289570370047705</v>
      </c>
      <c r="E24" s="261">
        <f>8!E36/8!E28</f>
        <v>-0.02522865588079834</v>
      </c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</row>
    <row r="25" spans="1:33" ht="13.5" thickBot="1">
      <c r="A25" s="78" t="s">
        <v>51</v>
      </c>
      <c r="B25" s="261">
        <f>+D25</f>
        <v>-0.1040873215340087</v>
      </c>
      <c r="C25" s="261">
        <f>+E25</f>
        <v>-0.04061303681608553</v>
      </c>
      <c r="D25" s="260">
        <f>8!D37/8!D30</f>
        <v>-0.1040873215340087</v>
      </c>
      <c r="E25" s="260">
        <f>8!E37/8!E30</f>
        <v>-0.04061303681608553</v>
      </c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</row>
    <row r="26" spans="1:33" ht="13.5" thickBot="1">
      <c r="A26" s="72" t="s">
        <v>52</v>
      </c>
      <c r="B26" s="81"/>
      <c r="C26" s="81"/>
      <c r="D26" s="81"/>
      <c r="E26" s="81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</row>
    <row r="27" spans="1:33" ht="13.5" thickBot="1">
      <c r="A27" s="83" t="s">
        <v>53</v>
      </c>
      <c r="B27" s="265">
        <f>+D27</f>
        <v>-5263832</v>
      </c>
      <c r="C27" s="265">
        <f>+E27</f>
        <v>2081967</v>
      </c>
      <c r="D27" s="265">
        <f>8!D10-8!D15</f>
        <v>-5263832</v>
      </c>
      <c r="E27" s="265">
        <f>8!E10-8!E15</f>
        <v>2081967</v>
      </c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</row>
    <row r="28" ht="12.75">
      <c r="A28" s="82" t="s">
        <v>92</v>
      </c>
    </row>
  </sheetData>
  <sheetProtection/>
  <mergeCells count="3">
    <mergeCell ref="A6:A7"/>
    <mergeCell ref="B6:C6"/>
    <mergeCell ref="D6:E6"/>
  </mergeCells>
  <printOptions/>
  <pageMargins left="1.3779527559055118" right="0.5905511811023623" top="1.24" bottom="0.5905511811023623" header="0" footer="0"/>
  <pageSetup fitToHeight="1" fitToWidth="1" horizontalDpi="600" verticalDpi="600" orientation="landscape" r:id="rId3"/>
  <legacyDrawing r:id="rId2"/>
  <oleObjects>
    <oleObject progId="MSPhotoEd.3" shapeId="24019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 Familiar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Modalidad Transporte Aéreo Junio 2011 - 2012</dc:title>
  <dc:subject/>
  <dc:creator>PC Familiar</dc:creator>
  <cp:keywords/>
  <dc:description/>
  <cp:lastModifiedBy>41680593</cp:lastModifiedBy>
  <cp:lastPrinted>2011-06-28T20:22:52Z</cp:lastPrinted>
  <dcterms:created xsi:type="dcterms:W3CDTF">2000-07-06T11:08:14Z</dcterms:created>
  <dcterms:modified xsi:type="dcterms:W3CDTF">2012-12-18T13:47:02Z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AEVVZYF6TF2M-623-201</vt:lpwstr>
  </property>
  <property fmtid="{D5CDD505-2E9C-101B-9397-08002B2CF9AE}" pid="3" name="_dlc_DocIdItemGuid">
    <vt:lpwstr>5f29a55b-6dac-4640-a603-48fc55b51eef</vt:lpwstr>
  </property>
  <property fmtid="{D5CDD505-2E9C-101B-9397-08002B2CF9AE}" pid="4" name="_dlc_DocIdUrl">
    <vt:lpwstr>http://www.aerocivil.gov.co/AAeronautica/Estadisticas/TAereo/_layouts/DocIdRedir.aspx?ID=AEVVZYF6TF2M-623-201, AEVVZYF6TF2M-623-201</vt:lpwstr>
  </property>
  <property fmtid="{D5CDD505-2E9C-101B-9397-08002B2CF9AE}" pid="5" name="Sección">
    <vt:lpwstr>Estadísticas Operacionales</vt:lpwstr>
  </property>
  <property fmtid="{D5CDD505-2E9C-101B-9397-08002B2CF9AE}" pid="6" name="Orden">
    <vt:lpwstr>02</vt:lpwstr>
  </property>
  <property fmtid="{D5CDD505-2E9C-101B-9397-08002B2CF9AE}" pid="7" name="PublishingExpirationDate">
    <vt:lpwstr/>
  </property>
  <property fmtid="{D5CDD505-2E9C-101B-9397-08002B2CF9AE}" pid="8" name="PublishingStartDate">
    <vt:lpwstr/>
  </property>
  <property fmtid="{D5CDD505-2E9C-101B-9397-08002B2CF9AE}" pid="9" name="Clase">
    <vt:lpwstr/>
  </property>
  <property fmtid="{D5CDD505-2E9C-101B-9397-08002B2CF9AE}" pid="10" name="Formato">
    <vt:lpwstr>/Style%20Library/Images/xls.svg</vt:lpwstr>
  </property>
  <property fmtid="{D5CDD505-2E9C-101B-9397-08002B2CF9AE}" pid="11" name="Filtro">
    <vt:lpwstr>INFORMES 2012</vt:lpwstr>
  </property>
</Properties>
</file>